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V:\ZentraleDokumentenverwaltung\TEXTE\Energiebuchhaltung\"/>
    </mc:Choice>
  </mc:AlternateContent>
  <xr:revisionPtr revIDLastSave="0" documentId="13_ncr:1_{8B35A70C-9DC1-49F5-91F3-49F2BA71FE89}" xr6:coauthVersionLast="47" xr6:coauthVersionMax="47" xr10:uidLastSave="{00000000-0000-0000-0000-000000000000}"/>
  <bookViews>
    <workbookView xWindow="345" yWindow="765" windowWidth="28350" windowHeight="14025"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 r="D6" i="1"/>
  <c r="R6" i="1"/>
  <c r="F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P6" i="1" l="1"/>
  <c r="F6" i="1"/>
  <c r="H6" i="1"/>
  <c r="U6" i="1"/>
  <c r="A7" i="1"/>
  <c r="D7" i="1"/>
  <c r="P7" i="1" s="1"/>
  <c r="H7" i="1"/>
  <c r="O7" i="1"/>
  <c r="U7" i="1"/>
  <c r="V7" i="1" s="1"/>
  <c r="D8" i="1"/>
  <c r="P8" i="1" s="1"/>
  <c r="F8" i="1"/>
  <c r="H8" i="1"/>
  <c r="O8" i="1"/>
  <c r="U8" i="1"/>
  <c r="V8" i="1" s="1"/>
  <c r="D9" i="1"/>
  <c r="P9" i="1" s="1"/>
  <c r="D14" i="4" s="1"/>
  <c r="F9" i="1"/>
  <c r="H9" i="1"/>
  <c r="O9" i="1"/>
  <c r="V9" i="1"/>
  <c r="U9" i="1"/>
  <c r="P10" i="1"/>
  <c r="F10" i="1"/>
  <c r="H10" i="1"/>
  <c r="O10" i="1"/>
  <c r="U10" i="1"/>
  <c r="V10" i="1"/>
  <c r="D11" i="1"/>
  <c r="F11" i="1"/>
  <c r="H11" i="1"/>
  <c r="O11" i="1"/>
  <c r="P11" i="1"/>
  <c r="D16" i="4" s="1"/>
  <c r="U11" i="1"/>
  <c r="V11" i="1"/>
  <c r="F12" i="1"/>
  <c r="H12" i="1"/>
  <c r="P12" i="1"/>
  <c r="D17" i="4" s="1"/>
  <c r="U12" i="1"/>
  <c r="V12" i="1"/>
  <c r="A13" i="1"/>
  <c r="D13" i="1"/>
  <c r="P13" i="1" s="1"/>
  <c r="F13" i="1"/>
  <c r="H13" i="1"/>
  <c r="U13" i="1"/>
  <c r="V13" i="1"/>
  <c r="A14" i="1"/>
  <c r="A15" i="1" s="1"/>
  <c r="D14" i="1"/>
  <c r="P14" i="1" s="1"/>
  <c r="D19" i="4" s="1"/>
  <c r="F14" i="1"/>
  <c r="H14" i="1"/>
  <c r="O14" i="1"/>
  <c r="U14" i="1"/>
  <c r="V14" i="1"/>
  <c r="D15" i="1"/>
  <c r="P15" i="1" s="1"/>
  <c r="D20" i="4" s="1"/>
  <c r="F15" i="1"/>
  <c r="H15" i="1"/>
  <c r="O15" i="1"/>
  <c r="U15" i="1"/>
  <c r="V15" i="1"/>
  <c r="A16" i="1"/>
  <c r="A17" i="1" s="1"/>
  <c r="D16" i="1"/>
  <c r="P16" i="1" s="1"/>
  <c r="F16" i="1"/>
  <c r="H16" i="1"/>
  <c r="O16" i="1"/>
  <c r="U16" i="1"/>
  <c r="V16" i="1"/>
  <c r="D17" i="1"/>
  <c r="P17" i="1" s="1"/>
  <c r="D22" i="4" s="1"/>
  <c r="F17" i="1"/>
  <c r="H17" i="1"/>
  <c r="O17" i="1"/>
  <c r="U17" i="1"/>
  <c r="V17" i="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V6" i="1" l="1"/>
  <c r="Y6" i="1" s="1"/>
  <c r="C10" i="5" s="1"/>
  <c r="A8" i="1"/>
  <c r="W18" i="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Y17" i="1"/>
  <c r="C21" i="5" s="1"/>
  <c r="Y11" i="1"/>
  <c r="C15" i="5" s="1"/>
  <c r="Y9" i="1"/>
  <c r="C13" i="5" s="1"/>
  <c r="D13" i="4"/>
  <c r="Y8" i="1"/>
  <c r="C12" i="5" s="1"/>
  <c r="D12" i="4"/>
  <c r="Y7" i="1"/>
  <c r="C11" i="5" s="1"/>
  <c r="D11" i="4"/>
  <c r="D39" i="1"/>
  <c r="E11" i="4" l="1"/>
  <c r="A9" i="1"/>
  <c r="A10" i="1"/>
  <c r="A11" i="1"/>
  <c r="A12" i="1"/>
  <c r="E26" i="4"/>
  <c r="E42" i="4"/>
  <c r="E17" i="4"/>
  <c r="E34" i="4"/>
  <c r="E33" i="4"/>
  <c r="E27" i="4"/>
  <c r="E12" i="4"/>
  <c r="E43" i="4"/>
  <c r="E25" i="4"/>
  <c r="E18" i="4"/>
  <c r="E19" i="4"/>
  <c r="E41" i="4"/>
  <c r="E35" i="4"/>
  <c r="D19" i="5"/>
  <c r="E39" i="4"/>
  <c r="E31" i="4"/>
  <c r="E23" i="4"/>
  <c r="E15" i="4"/>
  <c r="E38" i="4"/>
  <c r="E30" i="4"/>
  <c r="E22" i="4"/>
  <c r="E14" i="4"/>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N11" i="4" l="1"/>
  <c r="F11" i="4"/>
  <c r="K11" i="4"/>
  <c r="J11" i="4"/>
  <c r="I11" i="4"/>
  <c r="H11" i="4"/>
  <c r="G11" i="4"/>
  <c r="G26" i="4"/>
  <c r="K26" i="4"/>
  <c r="J26" i="4"/>
  <c r="N26" i="4"/>
  <c r="G42" i="4"/>
  <c r="K42" i="4"/>
  <c r="J42" i="4"/>
  <c r="N42" i="4"/>
  <c r="G17" i="4"/>
  <c r="I17" i="4"/>
  <c r="F17" i="4"/>
  <c r="J17" i="4"/>
  <c r="H17" i="4"/>
  <c r="N17" i="4"/>
  <c r="G34" i="4"/>
  <c r="F34" i="4"/>
  <c r="B34" i="4" s="1"/>
  <c r="K34" i="4"/>
  <c r="J34" i="4"/>
  <c r="I34" i="4"/>
  <c r="H34" i="4"/>
  <c r="N34" i="4"/>
  <c r="G33" i="4"/>
  <c r="K33" i="4"/>
  <c r="J33" i="4"/>
  <c r="H33" i="4"/>
  <c r="N33" i="4"/>
  <c r="G27" i="4"/>
  <c r="J27" i="4"/>
  <c r="H27" i="4"/>
  <c r="N27" i="4"/>
  <c r="G12" i="4"/>
  <c r="N12" i="4"/>
  <c r="G43" i="4"/>
  <c r="N43" i="4"/>
  <c r="G25" i="4"/>
  <c r="N25" i="4"/>
  <c r="G18" i="4"/>
  <c r="N18" i="4"/>
  <c r="G19" i="4"/>
  <c r="J19" i="4"/>
  <c r="N19" i="4"/>
  <c r="G41" i="4"/>
  <c r="N41" i="4"/>
  <c r="G35" i="4"/>
  <c r="N35" i="4"/>
  <c r="J19" i="5"/>
  <c r="M19" i="5"/>
  <c r="G39" i="4"/>
  <c r="K39" i="4"/>
  <c r="N39" i="4"/>
  <c r="G31" i="4"/>
  <c r="N31" i="4"/>
  <c r="G23" i="4"/>
  <c r="N23" i="4"/>
  <c r="G15" i="4"/>
  <c r="N15" i="4"/>
  <c r="G38" i="4"/>
  <c r="F38" i="4"/>
  <c r="B38" i="4" s="1"/>
  <c r="N38" i="4"/>
  <c r="G30" i="4"/>
  <c r="K30" i="4"/>
  <c r="N30" i="4"/>
  <c r="G22" i="4"/>
  <c r="N22" i="4"/>
  <c r="H14" i="4"/>
  <c r="I14" i="4"/>
  <c r="N14" i="4"/>
  <c r="G40" i="4"/>
  <c r="N40" i="4"/>
  <c r="G32" i="4"/>
  <c r="N32" i="4"/>
  <c r="G24" i="4"/>
  <c r="N24" i="4"/>
  <c r="G16" i="4"/>
  <c r="N16" i="4"/>
  <c r="G37" i="4"/>
  <c r="N37" i="4"/>
  <c r="G29" i="4"/>
  <c r="N29" i="4"/>
  <c r="G21" i="4"/>
  <c r="N21" i="4"/>
  <c r="G36" i="4"/>
  <c r="N36" i="4"/>
  <c r="G28" i="4"/>
  <c r="N28" i="4"/>
  <c r="G20" i="4"/>
  <c r="N20" i="4"/>
  <c r="E27" i="5"/>
  <c r="B27" i="5" s="1"/>
  <c r="M27" i="5"/>
  <c r="F32" i="5"/>
  <c r="M32" i="5"/>
  <c r="J10" i="5"/>
  <c r="M10" i="5"/>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B18" i="4" s="1"/>
  <c r="I15" i="4"/>
  <c r="J15" i="4"/>
  <c r="E28" i="5"/>
  <c r="B28" i="5" s="1"/>
  <c r="F28" i="4"/>
  <c r="B28" i="4" s="1"/>
  <c r="K15" i="4"/>
  <c r="J20" i="4"/>
  <c r="J30" i="5"/>
  <c r="F19" i="4"/>
  <c r="B19" i="4" s="1"/>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B20" i="4" s="1"/>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B21" i="4" s="1"/>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B13" i="5" s="1"/>
  <c r="J29" i="5"/>
  <c r="I29" i="5"/>
  <c r="E29" i="5"/>
  <c r="B29" i="5" s="1"/>
  <c r="J13" i="5"/>
  <c r="H29" i="5"/>
  <c r="I14" i="5"/>
  <c r="I18" i="5"/>
  <c r="H31" i="5"/>
  <c r="G14" i="5"/>
  <c r="H18" i="5"/>
  <c r="E23" i="5"/>
  <c r="B23" i="5" s="1"/>
  <c r="E31" i="5"/>
  <c r="B31" i="5" s="1"/>
  <c r="E14" i="5"/>
  <c r="B14" i="5" s="1"/>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B13" i="4" l="1"/>
  <c r="B14" i="4" s="1"/>
  <c r="L10" i="5" a="1"/>
  <c r="B12" i="5"/>
  <c r="F36" i="5"/>
  <c r="F37" i="5" s="1"/>
  <c r="M11" i="4" a="1"/>
  <c r="M15" i="4" s="1"/>
  <c r="L15" i="4" s="1"/>
  <c r="B15" i="4" l="1"/>
  <c r="B16" i="4" s="1"/>
  <c r="L11" i="5"/>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 r="B1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<sst xmlns="http://schemas.openxmlformats.org/spreadsheetml/2006/main" count="235" uniqueCount="73">
  <si>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</si>
  <si>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</si>
  <si>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</si>
  <si>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</si>
  <si>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</si>
  <si>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</si>
  <si>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</si>
  <si>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</si>
  <si>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</si>
  <si>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</si>
  <si>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</si>
  <si>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</si>
  <si>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</si>
  <si>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</si>
  <si>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</si>
  <si>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</si>
  <si>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</si>
  <si>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</si>
  <si>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</si>
  <si>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</si>
  <si>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</si>
  <si>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</si>
  <si>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</si>
  <si>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</si>
  <si>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</si>
  <si>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</si>
  <si>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</si>
  <si>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</si>
  <si>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</si>
  <si>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</si>
  <si>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</si>
  <si>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</si>
  <si>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</si>
  <si>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</si>
  <si>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</si>
  <si>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</si>
  <si>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</si>
  <si>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</si>
  <si>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</si>
  <si>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</si>
  <si>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</si>
  <si>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</si>
  <si>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</si>
  <si>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</si>
  <si>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</si>
  <si>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</si>
  <si>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</si>
  <si>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</si>
  <si>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</si>
  <si>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</si>
  <si>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</si>
  <si>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</si>
  <si>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</si>
  <si>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</si>
  <si>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Leopoldsdorf im Marchfeld</t>
  </si>
  <si>
    <t>Rathaus Leopoldsdorf i.M.</t>
  </si>
  <si>
    <t>Feuerwehr Breitstetten</t>
  </si>
  <si>
    <t>Musikschule</t>
  </si>
  <si>
    <t>Volksschule</t>
  </si>
  <si>
    <t>Kindergarten Breitstetten</t>
  </si>
  <si>
    <t>Kindergarten Leopoldsdorf i.M.</t>
  </si>
  <si>
    <t>Feuerwehr Leopoldsdorf i.M.</t>
  </si>
  <si>
    <t>Kläranlage</t>
  </si>
  <si>
    <t>keine Daten vorhanden, da die Mieter die Energieverträge selbst abschließen</t>
  </si>
  <si>
    <t>keine Energiedaten vorhanden</t>
  </si>
  <si>
    <t>Gesamtverbrauch bei Strom</t>
  </si>
  <si>
    <t>Rathausplatz 2 - Gasthaus</t>
  </si>
  <si>
    <t>Rathausplatz 2 - Büro- und Lagergeb.</t>
  </si>
  <si>
    <t>nicht konditioniert</t>
  </si>
  <si>
    <t>k.A.</t>
  </si>
  <si>
    <t>Turnhalle SMS</t>
  </si>
  <si>
    <t>Schulcampus/Freiluftklasse</t>
  </si>
  <si>
    <t>Personaltrakt und Werkstatt als zusätzlicher Energieausweis vorhanden (n.e.), 1662 alt + 93,025 Werkraum neu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</si>
</sst>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workbookViewId="0">
      <selection activeCell="A13" sqref="A13"/>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topLeftCell="G1" zoomScale="85" zoomScaleNormal="85" workbookViewId="0">
      <selection activeCell="Z7" sqref="Z7"/>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6" x14ac:dyDescent="0.25">
      <c r="A1" s="76" t="s">
        <v>5</v>
      </c>
      <c r="B1" s="76"/>
      <c r="C1" s="71" t="s">
        <v>54</v>
      </c>
      <c r="D1" s="71">
        <v>30831</v>
      </c>
    </row>
    <row r="2" spans="1:26" ht="15.75" thickBot="1" x14ac:dyDescent="0.3">
      <c r="A2" s="76" t="s">
        <v>6</v>
      </c>
      <c r="B2" s="76"/>
      <c r="C2" s="72">
        <v>45917</v>
      </c>
      <c r="D2" s="71"/>
    </row>
    <row r="3" spans="1:26" ht="19.5" thickBot="1" x14ac:dyDescent="0.35">
      <c r="A3" s="27"/>
      <c r="B3" s="23" t="s">
        <v>7</v>
      </c>
      <c r="C3" s="73">
        <v>2024</v>
      </c>
      <c r="M3" s="80" t="s">
        <v>8</v>
      </c>
      <c r="N3" s="81"/>
      <c r="O3" s="82"/>
      <c r="P3"/>
      <c r="Q3"/>
      <c r="R3" s="80" t="s">
        <v>9</v>
      </c>
      <c r="S3" s="81"/>
      <c r="T3" s="81"/>
      <c r="U3" s="84"/>
      <c r="V3" s="84"/>
      <c r="W3" s="84"/>
      <c r="X3" s="85"/>
    </row>
    <row r="4" spans="1:26" ht="15.75" thickBot="1" x14ac:dyDescent="0.3">
      <c r="M4" s="77" t="s">
        <v>10</v>
      </c>
      <c r="N4" s="78"/>
      <c r="O4" s="79"/>
      <c r="P4"/>
      <c r="Q4"/>
      <c r="R4" s="74" t="s">
        <v>11</v>
      </c>
      <c r="S4" s="83"/>
      <c r="T4" s="75"/>
      <c r="U4"/>
      <c r="V4"/>
      <c r="W4" s="74" t="s">
        <v>10</v>
      </c>
      <c r="X4" s="75"/>
    </row>
    <row r="5" spans="1:26"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6" x14ac:dyDescent="0.25">
      <c r="A6" s="22">
        <v>1</v>
      </c>
      <c r="B6" s="30" t="s">
        <v>55</v>
      </c>
      <c r="C6" s="30">
        <v>1755</v>
      </c>
      <c r="D6" s="29">
        <f t="shared" ref="D6:D38" si="0">IF(C6="","",C6*0.8)</f>
        <v>1404</v>
      </c>
      <c r="E6" s="30">
        <v>184643.5</v>
      </c>
      <c r="F6" s="22">
        <f>IFERROR(Eingabemaske!$E6/Eingabemaske!$C6,"k.A.")</f>
        <v>105.20997150997151</v>
      </c>
      <c r="G6" s="30">
        <v>41700</v>
      </c>
      <c r="H6" s="22">
        <f>IFERROR(Eingabemaske!$G6/Eingabemaske!$C6,"k.A.")</f>
        <v>23.760683760683762</v>
      </c>
      <c r="I6" s="30" t="s">
        <v>69</v>
      </c>
      <c r="J6" s="65" t="s">
        <v>69</v>
      </c>
      <c r="K6" s="65" t="s">
        <v>30</v>
      </c>
      <c r="L6" s="24" t="s">
        <v>28</v>
      </c>
      <c r="M6" s="31" t="s">
        <v>29</v>
      </c>
      <c r="N6" s="32" t="s">
        <v>30</v>
      </c>
      <c r="O6" s="33" t="s">
        <v>30</v>
      </c>
      <c r="P6" s="24" t="str">
        <f>IF(D6&lt;&gt;"",IF(D6&gt;250,IF(Eingabemaske!$M6="ja","anzeigen",IF(OR(Eingabemaske!$N6="ja",Eingabemaske!$O6="ja"),"anzeigen","nicht anzeigen")),"nicht anzeigen"),"")</f>
        <v>anzeigen</v>
      </c>
      <c r="Q6" s="24" t="s">
        <v>40</v>
      </c>
      <c r="R6" s="34" t="str">
        <f>IF(Eingabemaske!$Q6="vor 2015", "EAW zu alt - keine Berechnung möglich"," ")</f>
        <v>EAW zu alt - keine Berechnung möglich</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
        <v>30</v>
      </c>
      <c r="X6" s="33" t="s">
        <v>41</v>
      </c>
      <c r="Y6" s="33" t="str">
        <f>IF(AND(Eingabemaske!$O6="nein",Eingabemaske!$P6="anzeigen",Eingabemaske!$W6="nein",OR(Eingabemaske!$X6="ja",Eingabemaske!$X6="kein Sozialbau")),"anzeigen","nicht anzeigen")</f>
        <v>anzeigen</v>
      </c>
      <c r="Z6" s="25" t="s">
        <v>72</v>
      </c>
    </row>
    <row r="7" spans="1:26" x14ac:dyDescent="0.25">
      <c r="A7" s="22">
        <f>IF(B7&lt;&gt;"", MAX(A$6:A6)+1, "")</f>
        <v>2</v>
      </c>
      <c r="B7" s="30" t="s">
        <v>56</v>
      </c>
      <c r="C7" s="30">
        <v>253.71</v>
      </c>
      <c r="D7" s="29">
        <f t="shared" si="0"/>
        <v>202.96800000000002</v>
      </c>
      <c r="E7" s="30"/>
      <c r="F7" s="22">
        <f>IFERROR(Eingabemaske!$E7/Eingabemaske!$C7,"k.A.")</f>
        <v>0</v>
      </c>
      <c r="G7" s="30">
        <v>4674.3999999999996</v>
      </c>
      <c r="H7" s="22">
        <f>IFERROR(Eingabemaske!$G7/Eingabemaske!$C7,"k.A.")</f>
        <v>18.424185093216664</v>
      </c>
      <c r="I7" s="30" t="s">
        <v>69</v>
      </c>
      <c r="J7" s="30" t="s">
        <v>69</v>
      </c>
      <c r="K7" s="30" t="s">
        <v>30</v>
      </c>
      <c r="L7" s="24" t="s">
        <v>28</v>
      </c>
      <c r="M7" s="35" t="s">
        <v>29</v>
      </c>
      <c r="N7" s="24" t="s">
        <v>30</v>
      </c>
      <c r="O7" s="36" t="str">
        <f>IF(Eingabemaske!$M7="ja","nein","")</f>
        <v>nein</v>
      </c>
      <c r="P7" s="24" t="str">
        <f>IF(D7&lt;&gt;"",IF(D7&gt;250,IF(Eingabemaske!$M7="ja","anzeigen",IF(OR(Eingabemaske!$N7="ja",Eingabemaske!$O7="ja"),"anzeigen","nicht anzeigen")),"nicht anzeigen"),"")</f>
        <v>nicht anzeigen</v>
      </c>
      <c r="Q7" s="24"/>
      <c r="R7" s="37" t="str">
        <f>IF(Eingabemaske!$Q7="vor 2015", "EAW zu alt - keine Berechnung möglich"," ")</f>
        <v xml:space="preserve"> </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
        <v>30</v>
      </c>
      <c r="X7" s="36" t="s">
        <v>41</v>
      </c>
      <c r="Y7" s="36" t="str">
        <f>IF(AND(Eingabemaske!$O7="nein",Eingabemaske!$P7="anzeigen",Eingabemaske!$W7="nein",OR(Eingabemaske!$X7="ja",Eingabemaske!$X7="kein Sozialbau")),"anzeigen","nicht anzeigen")</f>
        <v>nicht anzeigen</v>
      </c>
    </row>
    <row r="8" spans="1:26" x14ac:dyDescent="0.25">
      <c r="A8" s="22">
        <f>IF(B8&lt;&gt;"", MAX(A$6:A7)+1, "")</f>
        <v>3</v>
      </c>
      <c r="B8" s="30" t="s">
        <v>61</v>
      </c>
      <c r="C8" s="30">
        <v>712</v>
      </c>
      <c r="D8" s="29">
        <f t="shared" si="0"/>
        <v>569.6</v>
      </c>
      <c r="E8" s="30">
        <v>99794.5</v>
      </c>
      <c r="F8" s="22">
        <f>IFERROR(Eingabemaske!$E8/Eingabemaske!$C8,"k.A.")</f>
        <v>140.16081460674158</v>
      </c>
      <c r="G8" s="30">
        <v>10533</v>
      </c>
      <c r="H8" s="22">
        <f>IFERROR(Eingabemaske!$G8/Eingabemaske!$C8,"k.A.")</f>
        <v>14.793539325842696</v>
      </c>
      <c r="I8" s="30" t="s">
        <v>69</v>
      </c>
      <c r="J8" s="30" t="s">
        <v>69</v>
      </c>
      <c r="K8" s="30" t="s">
        <v>30</v>
      </c>
      <c r="L8" s="24" t="s">
        <v>28</v>
      </c>
      <c r="M8" s="35" t="s">
        <v>29</v>
      </c>
      <c r="N8" s="24" t="s">
        <v>30</v>
      </c>
      <c r="O8" s="36" t="str">
        <f>IF(Eingabemaske!$M8="ja","nein","")</f>
        <v>nein</v>
      </c>
      <c r="P8" s="24" t="str">
        <f>IF(D8&lt;&gt;"",IF(D8&gt;250,IF(Eingabemaske!$M8="ja","anzeigen",IF(OR(Eingabemaske!$N8="ja",Eingabemaske!$O8="ja"),"anzeigen","nicht anzeigen")),"nicht anzeigen"),"")</f>
        <v>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
        <v>30</v>
      </c>
      <c r="X8" s="36"/>
      <c r="Y8" s="36" t="str">
        <f>IF(AND(Eingabemaske!$O8="nein",Eingabemaske!$P8="anzeigen",Eingabemaske!$W8="nein",OR(Eingabemaske!$X8="ja",Eingabemaske!$X8="kein Sozialbau")),"anzeigen","nicht anzeigen")</f>
        <v>nicht anzeigen</v>
      </c>
    </row>
    <row r="9" spans="1:26" x14ac:dyDescent="0.25">
      <c r="A9" s="22">
        <f>IF(B9&lt;&gt;"", MAX(A$6:A8)+1, "")</f>
        <v>4</v>
      </c>
      <c r="B9" s="30" t="s">
        <v>57</v>
      </c>
      <c r="C9" s="30">
        <v>300</v>
      </c>
      <c r="D9" s="29">
        <f t="shared" si="0"/>
        <v>240</v>
      </c>
      <c r="E9" s="30">
        <v>28454.5</v>
      </c>
      <c r="F9" s="22">
        <f>IFERROR(Eingabemaske!$E9/Eingabemaske!$C9,"k.A.")</f>
        <v>94.848333333333329</v>
      </c>
      <c r="G9" s="30">
        <v>3236.6</v>
      </c>
      <c r="H9" s="22">
        <f>IFERROR(Eingabemaske!$G9/Eingabemaske!$C9,"k.A.")</f>
        <v>10.788666666666666</v>
      </c>
      <c r="I9" s="30" t="s">
        <v>69</v>
      </c>
      <c r="J9" s="30" t="s">
        <v>69</v>
      </c>
      <c r="K9" s="30" t="s">
        <v>30</v>
      </c>
      <c r="L9" s="24" t="s">
        <v>28</v>
      </c>
      <c r="M9" s="35" t="s">
        <v>29</v>
      </c>
      <c r="N9" s="24" t="s">
        <v>30</v>
      </c>
      <c r="O9" s="36" t="str">
        <f>IF(Eingabemaske!$M9="ja","nein","")</f>
        <v>nein</v>
      </c>
      <c r="P9" s="24" t="str">
        <f>IF(D9&lt;&gt;"",IF(D9&gt;250,IF(Eingabemaske!$M9="ja","anzeigen",IF(OR(Eingabemaske!$N9="ja",Eingabemaske!$O9="ja"),"anzeigen","nicht anzeigen")),"nicht anzeigen"),"")</f>
        <v>nicht 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
        <v>30</v>
      </c>
      <c r="X9" s="36"/>
      <c r="Y9" s="36" t="str">
        <f>IF(AND(Eingabemaske!$O9="nein",Eingabemaske!$P9="anzeigen",Eingabemaske!$W9="nein",OR(Eingabemaske!$X9="ja",Eingabemaske!$X9="kein Sozialbau")),"anzeigen","nicht anzeigen")</f>
        <v>nicht anzeigen</v>
      </c>
    </row>
    <row r="10" spans="1:26" x14ac:dyDescent="0.25">
      <c r="A10" s="22">
        <f>IF(B10&lt;&gt;"", MAX(A$6:A9)+1, "")</f>
        <v>5</v>
      </c>
      <c r="B10" s="30" t="s">
        <v>58</v>
      </c>
      <c r="C10" s="30">
        <v>2973.46</v>
      </c>
      <c r="D10" s="29">
        <v>2525.1</v>
      </c>
      <c r="E10" s="30">
        <v>194944.2</v>
      </c>
      <c r="F10" s="22">
        <f>IFERROR(Eingabemaske!$E10/Eingabemaske!$C10,"k.A.")</f>
        <v>65.56139985067901</v>
      </c>
      <c r="G10" s="30">
        <v>30216.3</v>
      </c>
      <c r="H10" s="22">
        <f>IFERROR(Eingabemaske!$G10/Eingabemaske!$C10,"k.A.")</f>
        <v>10.161999825119556</v>
      </c>
      <c r="I10" s="30" t="s">
        <v>69</v>
      </c>
      <c r="J10" s="30" t="s">
        <v>69</v>
      </c>
      <c r="K10" s="30" t="s">
        <v>30</v>
      </c>
      <c r="L10" s="24" t="s">
        <v>28</v>
      </c>
      <c r="M10" s="35" t="s">
        <v>29</v>
      </c>
      <c r="N10" s="24" t="s">
        <v>30</v>
      </c>
      <c r="O10" s="36" t="str">
        <f>IF(Eingabemaske!$M10="ja","nein","")</f>
        <v>nein</v>
      </c>
      <c r="P10" s="24" t="str">
        <f>IF(D10&lt;&gt;"",IF(D10&gt;250,IF(Eingabemaske!$M10="ja","anzeigen",IF(OR(Eingabemaske!$N10="ja",Eingabemaske!$O10="ja"),"anzeigen","nicht anzeigen")),"nicht anzeigen"),"")</f>
        <v>anzeigen</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
        <v>30</v>
      </c>
      <c r="X10" s="36"/>
      <c r="Y10" s="36" t="str">
        <f>IF(AND(Eingabemaske!$O10="nein",Eingabemaske!$P10="anzeigen",Eingabemaske!$W10="nein",OR(Eingabemaske!$X10="ja",Eingabemaske!$X10="kein Sozialbau")),"anzeigen","nicht anzeigen")</f>
        <v>nicht anzeigen</v>
      </c>
    </row>
    <row r="11" spans="1:26" x14ac:dyDescent="0.25">
      <c r="A11" s="22">
        <f>IF(B11&lt;&gt;"", MAX(A$6:A10)+1, "")</f>
        <v>6</v>
      </c>
      <c r="B11" s="30" t="s">
        <v>59</v>
      </c>
      <c r="C11" s="30">
        <v>261.2</v>
      </c>
      <c r="D11" s="29">
        <f t="shared" si="0"/>
        <v>208.96</v>
      </c>
      <c r="E11" s="30">
        <v>42424.800000000003</v>
      </c>
      <c r="F11" s="22">
        <f>IFERROR(Eingabemaske!$E11/Eingabemaske!$C11,"k.A.")</f>
        <v>162.42266462480859</v>
      </c>
      <c r="G11" s="30">
        <v>1191</v>
      </c>
      <c r="H11" s="22">
        <f>IFERROR(Eingabemaske!$G11/Eingabemaske!$C11,"k.A.")</f>
        <v>4.5597243491577339</v>
      </c>
      <c r="I11" s="30" t="s">
        <v>69</v>
      </c>
      <c r="J11" s="30" t="s">
        <v>69</v>
      </c>
      <c r="K11" s="30" t="s">
        <v>30</v>
      </c>
      <c r="L11" s="24" t="s">
        <v>28</v>
      </c>
      <c r="M11" s="35" t="s">
        <v>29</v>
      </c>
      <c r="N11" s="24" t="s">
        <v>30</v>
      </c>
      <c r="O11" s="36" t="str">
        <f>IF(Eingabemaske!$M11="ja","nein","")</f>
        <v>nein</v>
      </c>
      <c r="P11" s="24" t="str">
        <f>IF(D11&lt;&gt;"",IF(D11&gt;250,IF(Eingabemaske!$M11="ja","anzeigen",IF(OR(Eingabemaske!$N11="ja",Eingabemaske!$O11="ja"),"anzeigen","nicht anzeigen")),"nicht anzeigen"),"")</f>
        <v>nicht anzeigen</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
        <v>30</v>
      </c>
      <c r="X11" s="36"/>
      <c r="Y11" s="36" t="str">
        <f>IF(AND(Eingabemaske!$O11="nein",Eingabemaske!$P11="anzeigen",Eingabemaske!$W11="nein",OR(Eingabemaske!$X11="ja",Eingabemaske!$X11="kein Sozialbau")),"anzeigen","nicht anzeigen")</f>
        <v>nicht anzeigen</v>
      </c>
    </row>
    <row r="12" spans="1:26" x14ac:dyDescent="0.25">
      <c r="A12" s="22">
        <f>IF(B12&lt;&gt;"", MAX(A$6:A11)+1, "")</f>
        <v>7</v>
      </c>
      <c r="B12" s="30" t="s">
        <v>60</v>
      </c>
      <c r="C12" s="30">
        <f>Tabelle3[[#This Row],[konditionierte
Nutzfläche '[m2']]]*1.2</f>
        <v>1015.3799999999999</v>
      </c>
      <c r="D12" s="29">
        <v>846.15</v>
      </c>
      <c r="E12" s="30">
        <v>121141.9</v>
      </c>
      <c r="F12" s="22">
        <f>IFERROR(Eingabemaske!$E12/Eingabemaske!$C12,"k.A.")</f>
        <v>119.30695897102564</v>
      </c>
      <c r="G12" s="30">
        <v>4505.5</v>
      </c>
      <c r="H12" s="22">
        <f>IFERROR(Eingabemaske!$G12/Eingabemaske!$C12,"k.A.")</f>
        <v>4.437255017825839</v>
      </c>
      <c r="I12" s="30" t="s">
        <v>69</v>
      </c>
      <c r="J12" s="30" t="s">
        <v>69</v>
      </c>
      <c r="K12" s="30" t="s">
        <v>30</v>
      </c>
      <c r="L12" s="24" t="s">
        <v>28</v>
      </c>
      <c r="M12" s="35" t="s">
        <v>29</v>
      </c>
      <c r="N12" s="24" t="s">
        <v>30</v>
      </c>
      <c r="O12" s="36" t="s">
        <v>30</v>
      </c>
      <c r="P12" s="24" t="str">
        <f>IF(D12&lt;&gt;"",IF(D12&gt;250,IF(Eingabemaske!$M12="ja","anzeigen",IF(OR(Eingabemaske!$N12="ja",Eingabemaske!$O12="ja"),"anzeigen","nicht anzeigen")),"nicht anzeigen"),"")</f>
        <v>anzeigen</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
        <v>30</v>
      </c>
      <c r="X12" s="36"/>
      <c r="Y12" s="36" t="str">
        <f>IF(AND(Eingabemaske!$O12="nein",Eingabemaske!$P12="anzeigen",Eingabemaske!$W12="nein",OR(Eingabemaske!$X12="ja",Eingabemaske!$X12="kein Sozialbau")),"anzeigen","nicht anzeigen")</f>
        <v>nicht anzeigen</v>
      </c>
    </row>
    <row r="13" spans="1:26" x14ac:dyDescent="0.25">
      <c r="A13" s="22">
        <f>IF(B13&lt;&gt;"", MAX(A$6:A12)+1, "")</f>
        <v>8</v>
      </c>
      <c r="B13" s="24" t="s">
        <v>62</v>
      </c>
      <c r="C13" s="30">
        <v>310</v>
      </c>
      <c r="D13" s="29">
        <f t="shared" si="0"/>
        <v>248</v>
      </c>
      <c r="E13" s="30"/>
      <c r="F13" s="22">
        <f>IFERROR(Eingabemaske!$E13/Eingabemaske!$C13,"k.A.")</f>
        <v>0</v>
      </c>
      <c r="G13" s="30">
        <v>138956.4</v>
      </c>
      <c r="H13" s="22">
        <f>IFERROR(Eingabemaske!$G13/Eingabemaske!$C13,"k.A.")</f>
        <v>448.24645161290323</v>
      </c>
      <c r="I13" s="30" t="s">
        <v>69</v>
      </c>
      <c r="J13" s="30" t="s">
        <v>69</v>
      </c>
      <c r="K13" s="30" t="s">
        <v>30</v>
      </c>
      <c r="L13" s="24" t="s">
        <v>28</v>
      </c>
      <c r="M13" s="35" t="s">
        <v>29</v>
      </c>
      <c r="N13" s="24" t="s">
        <v>30</v>
      </c>
      <c r="O13" s="36" t="s">
        <v>30</v>
      </c>
      <c r="P13" s="24" t="str">
        <f>IF(D13&lt;&gt;"",IF(D13&gt;250,IF(Eingabemaske!$M13="ja","anzeigen",IF(OR(Eingabemaske!$N13="ja",Eingabemaske!$O13="ja"),"anzeigen","nicht anzeigen")),"nicht anzeigen"),"")</f>
        <v>nicht anzeigen</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
        <v>30</v>
      </c>
      <c r="X13" s="36"/>
      <c r="Y13" s="36" t="str">
        <f>IF(AND(Eingabemaske!$O13="nein",Eingabemaske!$P13="anzeigen",Eingabemaske!$W13="nein",OR(Eingabemaske!$X13="ja",Eingabemaske!$X13="kein Sozialbau")),"anzeigen","nicht anzeigen")</f>
        <v>nicht anzeigen</v>
      </c>
      <c r="Z13" s="25" t="s">
        <v>65</v>
      </c>
    </row>
    <row r="14" spans="1:26" x14ac:dyDescent="0.25">
      <c r="A14" s="22">
        <f>IF(B14&lt;&gt;"", MAX(A$6:A13)+1, "")</f>
        <v>9</v>
      </c>
      <c r="B14" s="24" t="s">
        <v>67</v>
      </c>
      <c r="C14" s="30">
        <v>500</v>
      </c>
      <c r="D14" s="29">
        <f t="shared" si="0"/>
        <v>400</v>
      </c>
      <c r="E14" s="30"/>
      <c r="F14" s="22">
        <f>IFERROR(Eingabemaske!$E14/Eingabemaske!$C14,"k.A.")</f>
        <v>0</v>
      </c>
      <c r="G14" s="30" t="s">
        <v>69</v>
      </c>
      <c r="H14" s="22" t="str">
        <f>IFERROR(Eingabemaske!$G14/Eingabemaske!$C14,"k.A.")</f>
        <v>k.A.</v>
      </c>
      <c r="I14" s="30" t="s">
        <v>69</v>
      </c>
      <c r="J14" s="30" t="s">
        <v>69</v>
      </c>
      <c r="K14" s="30" t="s">
        <v>30</v>
      </c>
      <c r="L14" s="24" t="s">
        <v>28</v>
      </c>
      <c r="M14" s="35" t="s">
        <v>29</v>
      </c>
      <c r="N14" s="24" t="s">
        <v>30</v>
      </c>
      <c r="O14" s="36" t="str">
        <f>IF(Eingabemaske!$M14="ja","nein","")</f>
        <v>nein</v>
      </c>
      <c r="P14" s="24" t="str">
        <f>IF(D14&lt;&gt;"",IF(D14&gt;250,IF(Eingabemaske!$M14="ja","anzeigen",IF(OR(Eingabemaske!$N14="ja",Eingabemaske!$O14="ja"),"anzeigen","nicht anzeigen")),"nicht anzeigen"),"")</f>
        <v>anzeigen</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
        <v>30</v>
      </c>
      <c r="X14" s="36"/>
      <c r="Y14" s="36" t="str">
        <f>IF(AND(Eingabemaske!$O14="nein",Eingabemaske!$P14="anzeigen",Eingabemaske!$W14="nein",OR(Eingabemaske!$X14="ja",Eingabemaske!$X14="kein Sozialbau")),"anzeigen","nicht anzeigen")</f>
        <v>nicht anzeigen</v>
      </c>
      <c r="Z14" s="25" t="s">
        <v>63</v>
      </c>
    </row>
    <row r="15" spans="1:26" x14ac:dyDescent="0.25">
      <c r="A15" s="22">
        <f>IF(B15&lt;&gt;"", MAX(A$6:A14)+1, "")</f>
        <v>10</v>
      </c>
      <c r="B15" s="24" t="s">
        <v>66</v>
      </c>
      <c r="C15" s="30">
        <v>454</v>
      </c>
      <c r="D15" s="29">
        <f t="shared" si="0"/>
        <v>363.20000000000005</v>
      </c>
      <c r="E15" s="30"/>
      <c r="F15" s="22">
        <f>IFERROR(Eingabemaske!$E15/Eingabemaske!$C15,"k.A.")</f>
        <v>0</v>
      </c>
      <c r="G15" s="30" t="s">
        <v>69</v>
      </c>
      <c r="H15" s="22" t="str">
        <f>IFERROR(Eingabemaske!$G15/Eingabemaske!$C15,"k.A.")</f>
        <v>k.A.</v>
      </c>
      <c r="I15" s="30" t="s">
        <v>69</v>
      </c>
      <c r="J15" s="30" t="s">
        <v>69</v>
      </c>
      <c r="K15" s="30" t="s">
        <v>30</v>
      </c>
      <c r="L15" s="24" t="s">
        <v>28</v>
      </c>
      <c r="M15" s="35" t="s">
        <v>29</v>
      </c>
      <c r="N15" s="24" t="s">
        <v>30</v>
      </c>
      <c r="O15" s="36" t="str">
        <f>IF(Eingabemaske!$M15="ja","nein","")</f>
        <v>nein</v>
      </c>
      <c r="P15" s="24" t="str">
        <f>IF(D15&lt;&gt;"",IF(D15&gt;250,IF(Eingabemaske!$M15="ja","anzeigen",IF(OR(Eingabemaske!$N15="ja",Eingabemaske!$O15="ja"),"anzeigen","nicht anzeigen")),"nicht anzeigen"),"")</f>
        <v>anzeigen</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
        <v>30</v>
      </c>
      <c r="X15" s="36"/>
      <c r="Y15" s="36" t="str">
        <f>IF(AND(Eingabemaske!$O15="nein",Eingabemaske!$P15="anzeigen",Eingabemaske!$W15="nein",OR(Eingabemaske!$X15="ja",Eingabemaske!$X15="kein Sozialbau")),"anzeigen","nicht anzeigen")</f>
        <v>nicht anzeigen</v>
      </c>
      <c r="Z15" s="25" t="s">
        <v>63</v>
      </c>
    </row>
    <row r="16" spans="1:26" x14ac:dyDescent="0.25">
      <c r="A16" s="22">
        <f>IF(B16&lt;&gt;"", MAX(A$6:A15)+1, "")</f>
        <v>11</v>
      </c>
      <c r="B16" s="24" t="s">
        <v>70</v>
      </c>
      <c r="C16" s="30">
        <v>405</v>
      </c>
      <c r="D16" s="29">
        <f t="shared" si="0"/>
        <v>324</v>
      </c>
      <c r="E16" s="30"/>
      <c r="F16" s="22">
        <f>IFERROR(Eingabemaske!$E16/Eingabemaske!$C16,"k.A.")</f>
        <v>0</v>
      </c>
      <c r="G16" s="30" t="s">
        <v>69</v>
      </c>
      <c r="H16" s="22" t="str">
        <f>IFERROR(Eingabemaske!$G16/Eingabemaske!$C16,"k.A.")</f>
        <v>k.A.</v>
      </c>
      <c r="I16" s="30" t="s">
        <v>69</v>
      </c>
      <c r="J16" s="30" t="s">
        <v>69</v>
      </c>
      <c r="K16" s="30" t="s">
        <v>30</v>
      </c>
      <c r="L16" s="24" t="s">
        <v>28</v>
      </c>
      <c r="M16" s="35" t="s">
        <v>29</v>
      </c>
      <c r="N16" s="24" t="s">
        <v>29</v>
      </c>
      <c r="O16" s="36" t="str">
        <f>IF(Eingabemaske!$M16="ja","nein","")</f>
        <v>nein</v>
      </c>
      <c r="P16" s="24" t="str">
        <f>IF(D16&lt;&gt;"",IF(D16&gt;250,IF(Eingabemaske!$M16="ja","anzeigen",IF(OR(Eingabemaske!$N16="ja",Eingabemaske!$O16="ja"),"anzeigen","nicht anzeigen")),"nicht anzeigen"),"")</f>
        <v>anzeigen</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
        <v>30</v>
      </c>
      <c r="X16" s="36"/>
      <c r="Y16" s="36" t="str">
        <f>IF(AND(Eingabemaske!$O16="nein",Eingabemaske!$P16="anzeigen",Eingabemaske!$W16="nein",OR(Eingabemaske!$X16="ja",Eingabemaske!$X16="kein Sozialbau")),"anzeigen","nicht anzeigen")</f>
        <v>nicht anzeigen</v>
      </c>
      <c r="Z16" s="25" t="s">
        <v>64</v>
      </c>
    </row>
    <row r="17" spans="1:26" x14ac:dyDescent="0.25">
      <c r="A17" s="22">
        <f>IF(B17&lt;&gt;"", MAX(A$6:A16)+1, "")</f>
        <v>12</v>
      </c>
      <c r="B17" s="24" t="s">
        <v>71</v>
      </c>
      <c r="C17" s="30">
        <v>0</v>
      </c>
      <c r="D17" s="29">
        <f t="shared" si="0"/>
        <v>0</v>
      </c>
      <c r="E17" s="30"/>
      <c r="F17" s="22" t="str">
        <f>IFERROR(Eingabemaske!$E17/Eingabemaske!$C17,"k.A.")</f>
        <v>k.A.</v>
      </c>
      <c r="G17" s="30"/>
      <c r="H17" s="22" t="str">
        <f>IFERROR(Eingabemaske!$G17/Eingabemaske!$C17,"k.A.")</f>
        <v>k.A.</v>
      </c>
      <c r="I17" s="30" t="s">
        <v>69</v>
      </c>
      <c r="J17" s="30" t="s">
        <v>69</v>
      </c>
      <c r="K17" s="30"/>
      <c r="L17" s="24" t="s">
        <v>28</v>
      </c>
      <c r="M17" s="35" t="s">
        <v>29</v>
      </c>
      <c r="N17" s="24" t="s">
        <v>30</v>
      </c>
      <c r="O17" s="36" t="str">
        <f>IF(Eingabemaske!$M17="ja","nein","")</f>
        <v>nein</v>
      </c>
      <c r="P17" s="24" t="str">
        <f>IF(D17&lt;&gt;"",IF(D17&gt;250,IF(Eingabemaske!$M17="ja","anzeigen",IF(OR(Eingabemaske!$N17="ja",Eingabemaske!$O17="ja"),"anzeigen","nicht anzeigen")),"nicht anzeigen"),"")</f>
        <v>nicht anzeigen</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
        <v>30</v>
      </c>
      <c r="X17" s="36"/>
      <c r="Y17" s="36" t="str">
        <f>IF(AND(Eingabemaske!$O17="nein",Eingabemaske!$P17="anzeigen",Eingabemaske!$W17="nein",OR(Eingabemaske!$X17="ja",Eingabemaske!$X17="kein Sozialbau")),"anzeigen","nicht anzeigen")</f>
        <v>nicht anzeigen</v>
      </c>
      <c r="Z17" s="25" t="s">
        <v>68</v>
      </c>
    </row>
    <row r="18" spans="1:26"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6"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6"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6"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6"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6"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6"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6"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6"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6"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6"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6"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6"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6"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6"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8939.75</v>
      </c>
      <c r="D39" s="30">
        <f>SUBTOTAL(109,Tabelle3[konditionierte
Nutzfläche '[m2']])</f>
        <v>7331.9779999999992</v>
      </c>
      <c r="E39" s="30">
        <f>SUBTOTAL(109,Tabelle3[Jahres Verbrauch  - Wärme
'[kWh']])</f>
        <v>671403.4</v>
      </c>
      <c r="F39" s="30"/>
      <c r="G39" s="30">
        <f>SUBTOTAL(109,Tabelle3[Jahres Verbrauch - Strom
'[kWh']])</f>
        <v>235013.2</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8" scale="71" orientation="landscape" r:id="rId1"/>
  <ignoredErrors>
    <ignoredError sqref="D7:D9 R6 D11 D13:D38"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zoomScale="85" zoomScaleNormal="85" workbookViewId="0">
      <selection activeCell="Q14" sqref="Q14"/>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t="str">
        <f>Eingabemaske!C1</f>
        <v>Leopoldsdorf im Marchfeld</v>
      </c>
      <c r="G2" s="1">
        <f>Eingabemaske!D1</f>
        <v>30831</v>
      </c>
    </row>
    <row r="3" spans="2:14" x14ac:dyDescent="0.25">
      <c r="F3" s="86" t="str">
        <f>Eingabemaske!A2</f>
        <v>Erstellt am / durch</v>
      </c>
      <c r="G3" s="86"/>
    </row>
    <row r="4" spans="2:14" x14ac:dyDescent="0.25">
      <c r="F4" s="21">
        <f>Eingabemaske!C2</f>
        <v>45917</v>
      </c>
      <c r="G4" s="1">
        <f>Eingabemaske!D2</f>
        <v>0</v>
      </c>
    </row>
    <row r="5" spans="2:14" x14ac:dyDescent="0.25">
      <c r="F5" s="86" t="s">
        <v>31</v>
      </c>
      <c r="G5" s="86"/>
    </row>
    <row r="6" spans="2:14" x14ac:dyDescent="0.25">
      <c r="F6" s="88">
        <f>Eingabemaske!C3</f>
        <v>2024</v>
      </c>
      <c r="G6" s="89"/>
    </row>
    <row r="8" spans="2:14" ht="18.75" x14ac:dyDescent="0.3">
      <c r="B8" s="87" t="str">
        <f>"Gebäudeinventar - "&amp; F2 &amp;" - 2025, gem. Art 6 der Richtlinie (EU) 2023/1791"</f>
        <v>Gebäudeinventar - Leopoldsdorf im Marchfeld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Rathaus Leopoldsdorf i.M.</v>
      </c>
      <c r="G11" s="66">
        <f>IFERROR(VLOOKUP($E11,Eingabemaske!$A$6:$AA$38,4,0),"")</f>
        <v>1404</v>
      </c>
      <c r="H11" s="67">
        <f>IFERROR(VLOOKUP($E11,Eingabemaske!$A$6:$AA$38,5,0),"")</f>
        <v>184643.5</v>
      </c>
      <c r="I11" s="66">
        <f>IFERROR(VLOOKUP($E11,Eingabemaske!$A$6:$AA$38,7,0),"")</f>
        <v>41700</v>
      </c>
      <c r="J11" s="66" t="str">
        <f>IFERROR(VLOOKUP($E11,Eingabemaske!$A$6:$AA$38,9,0),"")</f>
        <v>k.A.</v>
      </c>
      <c r="K11" s="66" t="str">
        <f>IFERROR(VLOOKUP($E11,Eingabemaske!$A$6:$AA$38,10,0),"")</f>
        <v>k.A.</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1002</v>
      </c>
      <c r="E12" s="1">
        <f t="shared" ref="E12:E43" si="0">SMALL($D$11:$D$43,ROW(A2))</f>
        <v>3</v>
      </c>
      <c r="F12" s="1" t="str">
        <f>IFERROR(VLOOKUP($E12,Eingabemaske!$A$6:$AA$38,2,0),"")</f>
        <v>Feuerwehr Leopoldsdorf i.M.</v>
      </c>
      <c r="G12" s="3">
        <f>IFERROR(VLOOKUP($E12,Eingabemaske!$A$6:$AA$38,4,0),"")</f>
        <v>569.6</v>
      </c>
      <c r="H12" s="68">
        <f>IFERROR(VLOOKUP($E12,Eingabemaske!$A$6:$AA$38,5,0),"")</f>
        <v>99794.5</v>
      </c>
      <c r="I12" s="3">
        <f>IFERROR(VLOOKUP($E12,Eingabemaske!$A$6:$AA$38,7,0),"")</f>
        <v>10533</v>
      </c>
      <c r="J12" s="3" t="str">
        <f>IFERROR(VLOOKUP($E12,Eingabemaske!$A$6:$AA$38,9,0),"")</f>
        <v>k.A.</v>
      </c>
      <c r="K12" s="3" t="str">
        <f>IFERROR(VLOOKUP($E12,Eingabemaske!$A$6:$AA$38,10,0),"")</f>
        <v>k.A.</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3</v>
      </c>
      <c r="E13" s="5">
        <f t="shared" si="0"/>
        <v>5</v>
      </c>
      <c r="F13" s="5" t="str">
        <f>IFERROR(VLOOKUP($E13,Eingabemaske!$A$6:$AA$38,2,0),"")</f>
        <v>Volksschule</v>
      </c>
      <c r="G13" s="66">
        <f>IFERROR(VLOOKUP($E13,Eingabemaske!$A$6:$AA$38,4,0),"")</f>
        <v>2525.1</v>
      </c>
      <c r="H13" s="67">
        <f>IFERROR(VLOOKUP($E13,Eingabemaske!$A$6:$AA$38,5,0),"")</f>
        <v>194944.2</v>
      </c>
      <c r="I13" s="66">
        <f>IFERROR(VLOOKUP($E13,Eingabemaske!$A$6:$AA$38,7,0),"")</f>
        <v>30216.3</v>
      </c>
      <c r="J13" s="66" t="str">
        <f>IFERROR(VLOOKUP($E13,Eingabemaske!$A$6:$AA$38,9,0),"")</f>
        <v>k.A.</v>
      </c>
      <c r="K13" s="66" t="str">
        <f>IFERROR(VLOOKUP($E13,Eingabemaske!$A$6:$AA$38,10,0),"")</f>
        <v>k.A.</v>
      </c>
      <c r="L13" s="63" t="str">
        <f t="shared" si="1"/>
        <v>kein EAW</v>
      </c>
      <c r="M13" s="19" t="str">
        <v>keine Daten</v>
      </c>
      <c r="N13" t="str">
        <f>IFERROR(VLOOKUP($E13,Eingabemaske!$A$6:$AA$38,12,0),"")</f>
        <v>kein EAW</v>
      </c>
    </row>
    <row r="14" spans="2:14" x14ac:dyDescent="0.25">
      <c r="B14" s="1">
        <f>IF(F14&lt;&gt;"", MAX(B$11:B13)+1, "")</f>
        <v>4</v>
      </c>
      <c r="C14" s="1"/>
      <c r="D14" s="1">
        <f>ROW(A4)+NOT(Eingabemaske!P9="anzeigen")*1000</f>
        <v>1004</v>
      </c>
      <c r="E14" s="1">
        <f t="shared" si="0"/>
        <v>7</v>
      </c>
      <c r="F14" s="1" t="str">
        <f>IFERROR(VLOOKUP($E14,Eingabemaske!$A$6:$AA$38,2,0),"")</f>
        <v>Kindergarten Leopoldsdorf i.M.</v>
      </c>
      <c r="G14" s="3">
        <f>IFERROR(VLOOKUP($E14,Eingabemaske!$A$6:$AA$38,4,0),"")</f>
        <v>846.15</v>
      </c>
      <c r="H14" s="68">
        <f>IFERROR(VLOOKUP($E14,Eingabemaske!$A$6:$AA$38,5,0),"")</f>
        <v>121141.9</v>
      </c>
      <c r="I14" s="3">
        <f>IFERROR(VLOOKUP($E14,Eingabemaske!$A$6:$AA$38,7,0),"")</f>
        <v>4505.5</v>
      </c>
      <c r="J14" s="3" t="str">
        <f>IFERROR(VLOOKUP($E14,Eingabemaske!$A$6:$AA$38,9,0),"")</f>
        <v>k.A.</v>
      </c>
      <c r="K14" s="3" t="str">
        <f>IFERROR(VLOOKUP($E14,Eingabemaske!$A$6:$AA$38,10,0),"")</f>
        <v>k.A.</v>
      </c>
      <c r="L14" s="64" t="str">
        <f t="shared" si="1"/>
        <v>kein EAW</v>
      </c>
      <c r="M14" s="19" t="str">
        <v>keine Daten</v>
      </c>
      <c r="N14" t="str">
        <f>IFERROR(VLOOKUP($E14,Eingabemaske!$A$6:$AA$38,12,0),"")</f>
        <v>kein EAW</v>
      </c>
    </row>
    <row r="15" spans="2:14" x14ac:dyDescent="0.25">
      <c r="B15" s="5">
        <f>IF(F15&lt;&gt;"", MAX(B$11:B14)+1, "")</f>
        <v>5</v>
      </c>
      <c r="C15" s="5"/>
      <c r="D15" s="5">
        <f>ROW(A5)+NOT(Eingabemaske!P10="anzeigen")*1000</f>
        <v>5</v>
      </c>
      <c r="E15" s="5">
        <f t="shared" si="0"/>
        <v>9</v>
      </c>
      <c r="F15" s="5" t="str">
        <f>IFERROR(VLOOKUP($E15,Eingabemaske!$A$6:$AA$38,2,0),"")</f>
        <v>Rathausplatz 2 - Büro- und Lagergeb.</v>
      </c>
      <c r="G15" s="66">
        <f>IFERROR(VLOOKUP($E15,Eingabemaske!$A$6:$AA$38,4,0),"")</f>
        <v>400</v>
      </c>
      <c r="H15" s="69">
        <f>IFERROR(VLOOKUP($E15,Eingabemaske!$A$6:$AA$38,5,0),"")</f>
        <v>0</v>
      </c>
      <c r="I15" s="66" t="str">
        <f>IFERROR(VLOOKUP($E15,Eingabemaske!$A$6:$AA$38,7,0),"")</f>
        <v>k.A.</v>
      </c>
      <c r="J15" s="66" t="str">
        <f>IFERROR(VLOOKUP($E15,Eingabemaske!$A$6:$AA$38,9,0),"")</f>
        <v>k.A.</v>
      </c>
      <c r="K15" s="66" t="str">
        <f>IFERROR(VLOOKUP($E15,Eingabemaske!$A$6:$AA$38,10,0),"")</f>
        <v>k.A.</v>
      </c>
      <c r="L15" s="63" t="str">
        <f t="shared" si="1"/>
        <v>kein EAW</v>
      </c>
      <c r="M15" s="19" t="str">
        <v>keine Daten</v>
      </c>
      <c r="N15" t="str">
        <f>IFERROR(VLOOKUP($E15,Eingabemaske!$A$6:$AA$38,12,0),"")</f>
        <v>kein EAW</v>
      </c>
    </row>
    <row r="16" spans="2:14" x14ac:dyDescent="0.25">
      <c r="B16" s="1">
        <f>IF(F16&lt;&gt;"", MAX(B$11:B15)+1, "")</f>
        <v>6</v>
      </c>
      <c r="C16" s="1"/>
      <c r="D16" s="1">
        <f>ROW(A6)+NOT(Eingabemaske!P11="anzeigen")*1000</f>
        <v>1006</v>
      </c>
      <c r="E16" s="1">
        <f t="shared" si="0"/>
        <v>10</v>
      </c>
      <c r="F16" s="1" t="str">
        <f>IFERROR(VLOOKUP($E16,Eingabemaske!$A$6:$AA$38,2,0),"")</f>
        <v>Rathausplatz 2 - Gasthaus</v>
      </c>
      <c r="G16" s="3">
        <f>IFERROR(VLOOKUP($E16,Eingabemaske!$A$6:$AA$38,4,0),"")</f>
        <v>363.20000000000005</v>
      </c>
      <c r="H16" s="70">
        <f>IFERROR(VLOOKUP($E16,Eingabemaske!$A$6:$AA$38,5,0),"")</f>
        <v>0</v>
      </c>
      <c r="I16" s="3" t="str">
        <f>IFERROR(VLOOKUP($E16,Eingabemaske!$A$6:$AA$38,7,0),"")</f>
        <v>k.A.</v>
      </c>
      <c r="J16" s="3" t="str">
        <f>IFERROR(VLOOKUP($E16,Eingabemaske!$A$6:$AA$38,9,0),"")</f>
        <v>k.A.</v>
      </c>
      <c r="K16" s="3" t="str">
        <f>IFERROR(VLOOKUP($E16,Eingabemaske!$A$6:$AA$38,10,0),"")</f>
        <v>k.A.</v>
      </c>
      <c r="L16" s="64" t="str">
        <f t="shared" si="1"/>
        <v>kein EAW</v>
      </c>
      <c r="M16" s="19" t="str">
        <v>keine Daten</v>
      </c>
      <c r="N16" t="str">
        <f>IFERROR(VLOOKUP($E16,Eingabemaske!$A$6:$AA$38,12,0),"")</f>
        <v>kein EAW</v>
      </c>
    </row>
    <row r="17" spans="2:14" x14ac:dyDescent="0.25">
      <c r="B17" s="5">
        <f>IF(F17&lt;&gt;"", MAX(B$11:B16)+1, "")</f>
        <v>7</v>
      </c>
      <c r="C17" s="5"/>
      <c r="D17" s="5">
        <f>ROW(A7)+NOT(Eingabemaske!P12="anzeigen")*1000</f>
        <v>7</v>
      </c>
      <c r="E17" s="5">
        <f t="shared" si="0"/>
        <v>11</v>
      </c>
      <c r="F17" s="5" t="str">
        <f>IFERROR(VLOOKUP($E17,Eingabemaske!$A$6:$AA$38,2,0),"")</f>
        <v>Turnhalle SMS</v>
      </c>
      <c r="G17" s="66">
        <f>IFERROR(VLOOKUP($E17,Eingabemaske!$A$6:$AA$38,4,0),"")</f>
        <v>324</v>
      </c>
      <c r="H17" s="69">
        <f>IFERROR(VLOOKUP($E17,Eingabemaske!$A$6:$AA$38,5,0),"")</f>
        <v>0</v>
      </c>
      <c r="I17" s="66" t="str">
        <f>IFERROR(VLOOKUP($E17,Eingabemaske!$A$6:$AA$38,7,0),"")</f>
        <v>k.A.</v>
      </c>
      <c r="J17" s="66" t="str">
        <f>IFERROR(VLOOKUP($E17,Eingabemaske!$A$6:$AA$38,9,0),"")</f>
        <v>k.A.</v>
      </c>
      <c r="K17" s="66" t="str">
        <f>IFERROR(VLOOKUP($E17,Eingabemaske!$A$6:$AA$38,10,0),"")</f>
        <v>k.A.</v>
      </c>
      <c r="L17" s="63" t="str">
        <f t="shared" si="1"/>
        <v>kein EAW</v>
      </c>
      <c r="M17" s="19" t="str">
        <v>keine Daten</v>
      </c>
      <c r="N17" t="str">
        <f>IFERROR(VLOOKUP($E17,Eingabemaske!$A$6:$AA$38,12,0),"")</f>
        <v>kein EAW</v>
      </c>
    </row>
    <row r="18" spans="2:14" x14ac:dyDescent="0.25">
      <c r="B18" s="1" t="str">
        <f>IF(F18&lt;&gt;"", MAX(B$11:B17)+1, "")</f>
        <v/>
      </c>
      <c r="C18" s="1"/>
      <c r="D18" s="1">
        <f>ROW(A8)+NOT(Eingabemaske!P13="anzeigen")*1000</f>
        <v>1008</v>
      </c>
      <c r="E18" s="1">
        <f t="shared" si="0"/>
        <v>1002</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5">
      <c r="B19" s="5" t="str">
        <f>IF(F19&lt;&gt;"", MAX(B$11:B18)+1, "")</f>
        <v/>
      </c>
      <c r="C19" s="5"/>
      <c r="D19" s="5">
        <f>ROW(A9)+NOT(Eingabemaske!P14="anzeigen")*1000</f>
        <v>9</v>
      </c>
      <c r="E19" s="5">
        <f t="shared" si="0"/>
        <v>1004</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5">
      <c r="B20" s="1" t="str">
        <f>IF(F20&lt;&gt;"", MAX(B$11:B19)+1, "")</f>
        <v/>
      </c>
      <c r="C20" s="1"/>
      <c r="D20" s="1">
        <f>ROW(A10)+NOT(Eingabemaske!P15="anzeigen")*1000</f>
        <v>10</v>
      </c>
      <c r="E20" s="1">
        <f t="shared" si="0"/>
        <v>1006</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11</v>
      </c>
      <c r="E21" s="5">
        <f t="shared" si="0"/>
        <v>1008</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E32" sqref="E32"/>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t="str">
        <f>Eingabemaske!C1</f>
        <v>Leopoldsdorf im Marchfeld</v>
      </c>
      <c r="F2" s="1">
        <f>Eingabemaske!D1</f>
        <v>30831</v>
      </c>
    </row>
    <row r="3" spans="2:13" x14ac:dyDescent="0.25">
      <c r="E3" s="86" t="str">
        <f>Eingabemaske!A2</f>
        <v>Erstellt am / durch</v>
      </c>
      <c r="F3" s="86"/>
    </row>
    <row r="4" spans="2:13" x14ac:dyDescent="0.25">
      <c r="E4" s="21">
        <f>Eingabemaske!C2</f>
        <v>45917</v>
      </c>
      <c r="F4" s="1">
        <f>Eingabemaske!D2</f>
        <v>0</v>
      </c>
    </row>
    <row r="5" spans="2:13" x14ac:dyDescent="0.25">
      <c r="E5" s="86" t="s">
        <v>31</v>
      </c>
      <c r="F5" s="86"/>
    </row>
    <row r="6" spans="2:13" x14ac:dyDescent="0.25">
      <c r="E6" s="88">
        <f>Eingabemaske!C3</f>
        <v>2024</v>
      </c>
      <c r="F6" s="89"/>
    </row>
    <row r="8" spans="2:13" ht="18.75" x14ac:dyDescent="0.3">
      <c r="B8" s="90" t="str">
        <f>"Liste der zu renovierenden Gebäude 2025 - " &amp;E2</f>
        <v>Liste der zu renovierenden Gebäude 2025 - Leopoldsdorf im Marchfeld</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v>
      </c>
      <c r="D10" s="5">
        <f>SMALL($C$10:$C$43,ROW(A1))</f>
        <v>1</v>
      </c>
      <c r="E10" s="5" t="str">
        <f>IFERROR(VLOOKUP($D10,Eingabemaske!$A$6:$AA$38,2,0),"")</f>
        <v>Rathaus Leopoldsdorf i.M.</v>
      </c>
      <c r="F10" s="66">
        <f>IFERROR(VLOOKUP($D10,Eingabemaske!$A$6:$AA$38,4,0),"")</f>
        <v>1404</v>
      </c>
      <c r="G10" s="66">
        <f>IFERROR(VLOOKUP($D10,Eingabemaske!$A$6:$AA$38,5,0),"")</f>
        <v>184643.5</v>
      </c>
      <c r="H10" s="66">
        <f>IFERROR(VLOOKUP($D10,Eingabemaske!$A$6:$AA$38,7,0),"")</f>
        <v>41700</v>
      </c>
      <c r="I10" s="66" t="str">
        <f>IFERROR(VLOOKUP($D10,Eingabemaske!$A$6:$AA$38,9,0),"")</f>
        <v>k.A.</v>
      </c>
      <c r="J10" s="66" t="str">
        <f>IFERROR(VLOOKUP($D10,Eingabemaske!$A$6:$AA$38,10,0),"")</f>
        <v>k.A.</v>
      </c>
      <c r="K10" s="5" t="str">
        <f>IF(L10&lt;&gt;" ",HYPERLINK(M10,M10),"")</f>
        <v>kein EAW</v>
      </c>
      <c r="L10" t="str">
        <f t="array" ref="L10:L34">IF(NOT(ISBLANK(M10:M34)),IF(M10:M34="kein EAW","keine Daten","ok")," ")</f>
        <v>keine Daten</v>
      </c>
      <c r="M10" t="str">
        <f>IFERROR(VLOOKUP($D10,Eingabemaske!$A$6:$AA$38,12,0),"")</f>
        <v>kein EAW</v>
      </c>
    </row>
    <row r="11" spans="2:13" x14ac:dyDescent="0.25">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5">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5">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1404</v>
      </c>
      <c r="G36" s="13"/>
    </row>
    <row r="37" spans="2:13" x14ac:dyDescent="0.25">
      <c r="C37" s="1"/>
      <c r="D37" s="1"/>
      <c r="E37" s="16" t="s">
        <v>36</v>
      </c>
      <c r="F37" s="17">
        <f>F36*0.03</f>
        <v>42.12</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2.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Gabriele Nemeth</cp:lastModifiedBy>
  <cp:revision/>
  <cp:lastPrinted>2025-09-17T09:01:50Z</cp:lastPrinted>
  <dcterms:created xsi:type="dcterms:W3CDTF">2025-05-27T07:30:37Z</dcterms:created>
  <dcterms:modified xsi:type="dcterms:W3CDTF">2025-09-29T14:03:16Z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