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<sst xmlns="http://schemas.openxmlformats.org/spreadsheetml/2006/main" count="1192" uniqueCount="558">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</sst>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1061494.9414298323</c:v>
                </c:pt>
                <c:pt idx="1">
                  <c:v>1100810.4185461742</c:v>
                </c:pt>
                <c:pt idx="2">
                  <c:v>1138980.784678545</c:v>
                </c:pt>
                <c:pt idx="3">
                  <c:v>1176039.3925740507</c:v>
                </c:pt>
                <c:pt idx="4">
                  <c:v>1212018.6235405612</c:v>
                </c:pt>
                <c:pt idx="5">
                  <c:v>1246949.9157410567</c:v>
                </c:pt>
                <c:pt idx="6">
                  <c:v>1280863.791663868</c:v>
                </c:pt>
                <c:pt idx="7">
                  <c:v>1313789.8847928108</c:v>
                </c:pt>
                <c:pt idx="8">
                  <c:v>1345756.9655005224</c:v>
                </c:pt>
                <c:pt idx="9">
                  <c:v>1376792.966187621</c:v>
                </c:pt>
                <c:pt idx="10">
                  <c:v>1406925.0056896585</c:v>
                </c:pt>
                <c:pt idx="11">
                  <c:v>1436179.41297319</c:v>
                </c:pt>
                <c:pt idx="12">
                  <c:v>1582079.90385749</c:v>
                </c:pt>
                <c:pt idx="13">
                  <c:v>1609654.9884870795</c:v>
                </c:pt>
                <c:pt idx="14">
                  <c:v>1636426.9153119237</c:v>
                </c:pt>
                <c:pt idx="15">
                  <c:v>1662419.0772777917</c:v>
                </c:pt>
                <c:pt idx="16">
                  <c:v>1687654.1859825184</c:v>
                </c:pt>
                <c:pt idx="17">
                  <c:v>1712154.2915210875</c:v>
                </c:pt>
                <c:pt idx="18">
                  <c:v>1735940.8017527082</c:v>
                </c:pt>
                <c:pt idx="19">
                  <c:v>1759034.501006709</c:v>
                </c:pt>
                <c:pt idx="20">
                  <c:v>1781455.5682436025</c:v>
                </c:pt>
                <c:pt idx="21">
                  <c:v>1803223.594687189</c:v>
                </c:pt>
                <c:pt idx="22">
                  <c:v>1824357.6009430978</c:v>
                </c:pt>
                <c:pt idx="23">
                  <c:v>1844876.0536187375</c:v>
                </c:pt>
                <c:pt idx="24">
                  <c:v>1864796.8814591644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809581.6019763532</c:v>
                </c:pt>
                <c:pt idx="1">
                  <c:v>850922.9631184436</c:v>
                </c:pt>
                <c:pt idx="2">
                  <c:v>891060.2069457159</c:v>
                </c:pt>
                <c:pt idx="3">
                  <c:v>930028.4048362714</c:v>
                </c:pt>
                <c:pt idx="4">
                  <c:v>967861.6066717624</c:v>
                </c:pt>
                <c:pt idx="5">
                  <c:v>1004592.8705897147</c:v>
                </c:pt>
                <c:pt idx="6">
                  <c:v>1040254.2918692802</c:v>
                </c:pt>
                <c:pt idx="7">
                  <c:v>1074877.0309756543</c:v>
                </c:pt>
                <c:pt idx="8">
                  <c:v>1108491.340787668</c:v>
                </c:pt>
                <c:pt idx="9">
                  <c:v>1141126.5930323415</c:v>
                </c:pt>
                <c:pt idx="10">
                  <c:v>1172811.3039495004</c:v>
                </c:pt>
                <c:pt idx="11">
                  <c:v>1203573.1592088777</c:v>
                </c:pt>
                <c:pt idx="12">
                  <c:v>1388951.3003724192</c:v>
                </c:pt>
                <c:pt idx="13">
                  <c:v>1417947.2992972732</c:v>
                </c:pt>
                <c:pt idx="14">
                  <c:v>1446098.7545641216</c:v>
                </c:pt>
                <c:pt idx="15">
                  <c:v>1473430.2645319353</c:v>
                </c:pt>
                <c:pt idx="16">
                  <c:v>1499965.7111026286</c:v>
                </c:pt>
                <c:pt idx="17">
                  <c:v>1525728.2805887384</c:v>
                </c:pt>
                <c:pt idx="18">
                  <c:v>1550740.483973311</c:v>
                </c:pt>
                <c:pt idx="19">
                  <c:v>1575024.1765796926</c:v>
                </c:pt>
                <c:pt idx="20">
                  <c:v>1598600.5771684118</c:v>
                </c:pt>
                <c:pt idx="21">
                  <c:v>1621490.2864778487</c:v>
                </c:pt>
                <c:pt idx="22">
                  <c:v>1643713.3052248748</c:v>
                </c:pt>
                <c:pt idx="23">
                  <c:v>1665289.0515812102</c:v>
                </c:pt>
                <c:pt idx="24">
                  <c:v>1686236.3781407594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743584.1950139883</c:v>
                </c:pt>
                <c:pt idx="1">
                  <c:v>795607.6853188312</c:v>
                </c:pt>
                <c:pt idx="2">
                  <c:v>846115.928333242</c:v>
                </c:pt>
                <c:pt idx="3">
                  <c:v>895153.0574734465</c:v>
                </c:pt>
                <c:pt idx="4">
                  <c:v>942761.9207163635</c:v>
                </c:pt>
                <c:pt idx="5">
                  <c:v>988984.1180395839</c:v>
                </c:pt>
                <c:pt idx="6">
                  <c:v>1033860.037770866</c:v>
                </c:pt>
                <c:pt idx="7">
                  <c:v>1077428.8918789066</c:v>
                </c:pt>
                <c:pt idx="8">
                  <c:v>1119728.7502362276</c:v>
                </c:pt>
                <c:pt idx="9">
                  <c:v>1160796.5738841123</c:v>
                </c:pt>
                <c:pt idx="10">
                  <c:v>1200668.2473286605</c:v>
                </c:pt>
                <c:pt idx="11">
                  <c:v>1239378.6098961828</c:v>
                </c:pt>
                <c:pt idx="12">
                  <c:v>1373724.6715883615</c:v>
                </c:pt>
                <c:pt idx="13">
                  <c:v>1410212.9009855927</c:v>
                </c:pt>
                <c:pt idx="14">
                  <c:v>1445638.3664197975</c:v>
                </c:pt>
                <c:pt idx="15">
                  <c:v>1480032.0221811614</c:v>
                </c:pt>
                <c:pt idx="16">
                  <c:v>1513423.9209786023</c:v>
                </c:pt>
                <c:pt idx="17">
                  <c:v>1545843.2401994185</c:v>
                </c:pt>
                <c:pt idx="18">
                  <c:v>1577318.3074040946</c:v>
                </c:pt>
                <c:pt idx="19">
                  <c:v>1607876.6250785373</c:v>
                </c:pt>
                <c:pt idx="20">
                  <c:v>1637544.8946653747</c:v>
                </c:pt>
                <c:pt idx="21">
                  <c:v>1666349.0398953145</c:v>
                </c:pt>
                <c:pt idx="22">
                  <c:v>1694314.229438945</c:v>
                </c:pt>
                <c:pt idx="23">
                  <c:v>1721464.89889878</c:v>
                </c:pt>
                <c:pt idx="24">
                  <c:v>1747824.7721607564</c:v>
                </c:pt>
              </c:numCache>
            </c:numRef>
          </c:yVal>
          <c:smooth val="0"/>
        </c:ser>
        <c:axId val="45610110"/>
        <c:axId val="7837807"/>
      </c:scatterChart>
      <c:valAx>
        <c:axId val="45610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7807"/>
        <c:crosses val="autoZero"/>
        <c:crossBetween val="midCat"/>
        <c:dispUnits/>
      </c:valAx>
      <c:valAx>
        <c:axId val="7837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01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10.1208893</c:v>
                </c:pt>
                <c:pt idx="1">
                  <c:v>9.142376779999998</c:v>
                </c:pt>
                <c:pt idx="2">
                  <c:v>9.142376779999998</c:v>
                </c:pt>
                <c:pt idx="3">
                  <c:v>1.08403838</c:v>
                </c:pt>
                <c:pt idx="4">
                  <c:v>1.4917519300000002</c:v>
                </c:pt>
                <c:pt idx="5">
                  <c:v>1.2375305399999998</c:v>
                </c:pt>
                <c:pt idx="6">
                  <c:v>0</c:v>
                </c:pt>
                <c:pt idx="7">
                  <c:v>3.0958154852574418</c:v>
                </c:pt>
                <c:pt idx="8">
                  <c:v>6.097818380052536</c:v>
                </c:pt>
                <c:pt idx="9">
                  <c:v>0</c:v>
                </c:pt>
                <c:pt idx="10">
                  <c:v>-3.403496782799999</c:v>
                </c:pt>
                <c:pt idx="11">
                  <c:v>-3.403496782799999</c:v>
                </c:pt>
                <c:pt idx="12">
                  <c:v>0</c:v>
                </c:pt>
                <c:pt idx="13">
                  <c:v>-5.2424658</c:v>
                </c:pt>
                <c:pt idx="14">
                  <c:v>-5.2424658</c:v>
                </c:pt>
                <c:pt idx="15">
                  <c:v>11.20492768</c:v>
                </c:pt>
                <c:pt idx="16">
                  <c:v>5.083981612457439</c:v>
                </c:pt>
                <c:pt idx="17">
                  <c:v>7.831763117252535</c:v>
                </c:pt>
              </c:numCache>
            </c:numRef>
          </c:val>
        </c:ser>
        <c:axId val="3431400"/>
        <c:axId val="30882601"/>
      </c:barChart>
      <c:catAx>
        <c:axId val="34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882601"/>
        <c:crosses val="autoZero"/>
        <c:auto val="1"/>
        <c:lblOffset val="100"/>
        <c:tickLblSkip val="1"/>
        <c:noMultiLvlLbl val="0"/>
      </c:catAx>
      <c:valAx>
        <c:axId val="3088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9507954"/>
        <c:axId val="18462723"/>
      </c:scatterChart>
      <c:valAx>
        <c:axId val="950795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62723"/>
        <c:crosses val="autoZero"/>
        <c:crossBetween val="midCat"/>
        <c:dispUnits/>
      </c:valAx>
      <c:valAx>
        <c:axId val="1846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79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31946780"/>
        <c:axId val="19085565"/>
      </c:scatterChart>
      <c:valAx>
        <c:axId val="3194678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85565"/>
        <c:crosses val="autoZero"/>
        <c:crossBetween val="midCat"/>
        <c:dispUnits/>
      </c:valAx>
      <c:valAx>
        <c:axId val="1908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67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0.48025</cdr:x>
      <cdr:y>0.18975</cdr:y>
    </cdr:from>
    <cdr:to>
      <cdr:x>0.555</cdr:x>
      <cdr:y>0.24175</cdr:y>
    </cdr:to>
    <cdr:sp>
      <cdr:nvSpPr>
        <cdr:cNvPr id="3" name="WordArt 7"/>
        <cdr:cNvSpPr>
          <a:spLocks/>
        </cdr:cNvSpPr>
      </cdr:nvSpPr>
      <cdr:spPr>
        <a:xfrm>
          <a:off x="4419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0.36475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62325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0.314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0.738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8580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6">
      <selection activeCell="F19" sqref="F1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4000</v>
      </c>
      <c r="G5" s="450" t="s">
        <v>391</v>
      </c>
      <c r="H5" s="438"/>
      <c r="I5" s="439">
        <f>F5</f>
        <v>4000</v>
      </c>
      <c r="J5" s="440" t="s">
        <v>407</v>
      </c>
      <c r="K5" s="438"/>
      <c r="L5" s="441">
        <f>I5</f>
        <v>4000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3100</v>
      </c>
      <c r="G6" s="455" t="s">
        <v>392</v>
      </c>
      <c r="H6" s="401"/>
      <c r="I6" s="456">
        <f>F6</f>
        <v>3100</v>
      </c>
      <c r="J6" s="457" t="s">
        <v>557</v>
      </c>
      <c r="K6" s="401"/>
      <c r="L6" s="458">
        <f>I6</f>
        <v>3100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25</v>
      </c>
      <c r="J7" s="473" t="s">
        <v>408</v>
      </c>
      <c r="K7" s="442"/>
      <c r="L7" s="370">
        <f>I7</f>
        <v>25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1605.6752082402909</v>
      </c>
      <c r="G16" s="338" t="s">
        <v>399</v>
      </c>
      <c r="H16" s="273"/>
      <c r="I16" s="281">
        <f>'Variante F 1-2'!B123</f>
        <v>1044.316852374425</v>
      </c>
      <c r="J16" s="338" t="s">
        <v>414</v>
      </c>
      <c r="K16" s="273"/>
      <c r="L16" s="322">
        <f aca="true" t="shared" si="0" ref="L16:L21">I16</f>
        <v>1044.316852374425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1605.6752082402909</v>
      </c>
      <c r="G17" s="341" t="s">
        <v>400</v>
      </c>
      <c r="H17" s="212"/>
      <c r="I17" s="409">
        <f>IF(I16&gt;I10,I16-I10,0)</f>
        <v>1044.316852374425</v>
      </c>
      <c r="J17" s="341" t="s">
        <v>415</v>
      </c>
      <c r="K17" s="212"/>
      <c r="L17" s="375">
        <f t="shared" si="0"/>
        <v>1044.316852374425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17.480166009407153</v>
      </c>
      <c r="G18" s="465" t="s">
        <v>401</v>
      </c>
      <c r="H18" s="387"/>
      <c r="I18" s="383">
        <f>'Variante F 1-2'!B43</f>
        <v>18.943319747104187</v>
      </c>
      <c r="J18" s="386" t="s">
        <v>416</v>
      </c>
      <c r="K18" s="387"/>
      <c r="L18" s="392">
        <f t="shared" si="0"/>
        <v>18.943319747104187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17.48</v>
      </c>
      <c r="G19" s="342" t="s">
        <v>402</v>
      </c>
      <c r="H19" s="212"/>
      <c r="I19" s="410">
        <f>I18/F18*F19</f>
        <v>18.94313984210334</v>
      </c>
      <c r="J19" s="342" t="s">
        <v>417</v>
      </c>
      <c r="K19" s="212"/>
      <c r="L19" s="411">
        <f t="shared" si="0"/>
        <v>18.94313984210334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1.0742298614378274</v>
      </c>
      <c r="J20" s="342" t="s">
        <v>418</v>
      </c>
      <c r="K20" s="212"/>
      <c r="L20" s="393">
        <f t="shared" si="0"/>
        <v>1.0742298614378274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1.073789238039734</v>
      </c>
      <c r="J21" s="342" t="s">
        <v>419</v>
      </c>
      <c r="K21" s="212"/>
      <c r="L21" s="378">
        <f t="shared" si="0"/>
        <v>1.073789238039734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515.081618438377</v>
      </c>
      <c r="G23" s="464" t="s">
        <v>406</v>
      </c>
      <c r="H23" s="215"/>
      <c r="I23" s="283">
        <f>'Variante F 1-2'!B43*'Variante F 1-2'!B44/I26*I22</f>
        <v>21.914824343035285</v>
      </c>
      <c r="J23" s="490" t="s">
        <v>545</v>
      </c>
      <c r="K23" s="492"/>
      <c r="L23" s="514">
        <f>'Variante F 1-2'!B43*'Variante F 1-2'!B44/L26*L22</f>
        <v>43.16556309991798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515.081618438377</v>
      </c>
      <c r="G24" s="487" t="s">
        <v>363</v>
      </c>
      <c r="H24" s="489"/>
      <c r="I24" s="488">
        <f>IF(I23-I11&gt;0,I23-I11,0)</f>
        <v>21.914824343035285</v>
      </c>
      <c r="J24" s="491" t="s">
        <v>364</v>
      </c>
      <c r="K24" s="489"/>
      <c r="L24" s="515">
        <f>IF(L23-L11&gt;0,L23-L11,0)</f>
        <v>43.16556309991798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2088.065454545455</v>
      </c>
      <c r="G25" s="215" t="s">
        <v>365</v>
      </c>
      <c r="H25" s="215"/>
      <c r="I25" s="512">
        <f>(I19*I21*365/I26)</f>
        <v>1142.2219983774276</v>
      </c>
      <c r="J25" s="215" t="s">
        <v>421</v>
      </c>
      <c r="K25" s="215"/>
      <c r="L25" s="516">
        <f>(L19*L21*365/L26)</f>
        <v>2249.8312089252363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15.12</v>
      </c>
      <c r="G27" s="467" t="s">
        <v>367</v>
      </c>
      <c r="H27" s="466" t="s">
        <v>337</v>
      </c>
      <c r="I27" s="494">
        <v>33.5</v>
      </c>
      <c r="J27" s="467" t="s">
        <v>423</v>
      </c>
      <c r="K27" s="337" t="s">
        <v>338</v>
      </c>
      <c r="L27" s="495">
        <v>22.23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17.603034467836306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0.957992643800423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0.96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589.3557705636148</v>
      </c>
      <c r="G44" s="510"/>
      <c r="H44" s="511"/>
      <c r="I44" s="509">
        <f>IF(I17=0,0,'IK Becken Variante 2&amp;3 '!C11)</f>
        <v>637.2785011415845</v>
      </c>
      <c r="J44" s="381" t="s">
        <v>435</v>
      </c>
      <c r="K44" s="397"/>
      <c r="L44" s="508">
        <f>I44</f>
        <v>637.2785011415845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946313.9496273493</v>
      </c>
      <c r="G45" s="352" t="s">
        <v>536</v>
      </c>
      <c r="H45" s="209"/>
      <c r="I45" s="524">
        <f>I17*I44</f>
        <v>665520.6783980709</v>
      </c>
      <c r="J45" s="354" t="s">
        <v>538</v>
      </c>
      <c r="K45" s="209"/>
      <c r="L45" s="525">
        <f>L44*L17</f>
        <v>665520.6783980709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950000</v>
      </c>
      <c r="G46" s="353" t="s">
        <v>383</v>
      </c>
      <c r="H46" s="209"/>
      <c r="I46" s="233">
        <v>670000</v>
      </c>
      <c r="J46" s="353" t="s">
        <v>383</v>
      </c>
      <c r="K46" s="209"/>
      <c r="L46" s="486">
        <v>670000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170000</v>
      </c>
      <c r="G47" s="353" t="s">
        <v>384</v>
      </c>
      <c r="H47" s="209"/>
      <c r="I47" s="233">
        <v>140000</v>
      </c>
      <c r="J47" s="353" t="s">
        <v>384</v>
      </c>
      <c r="K47" s="209"/>
      <c r="L47" s="486">
        <v>140000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70797.06048615037</v>
      </c>
      <c r="G48" s="351" t="s">
        <v>385</v>
      </c>
      <c r="H48" s="209"/>
      <c r="I48" s="300">
        <f>'IK Becken Variante 2&amp;3 '!C45</f>
        <v>11556.897625502565</v>
      </c>
      <c r="J48" s="351" t="s">
        <v>385</v>
      </c>
      <c r="K48" s="209"/>
      <c r="L48" s="327">
        <f>'IK Becken Variante 2&amp;3 '!C46</f>
        <v>19333.917605550436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71000</v>
      </c>
      <c r="G49" s="350" t="s">
        <v>386</v>
      </c>
      <c r="H49" s="209"/>
      <c r="I49" s="226">
        <v>12000</v>
      </c>
      <c r="J49" s="350" t="s">
        <v>386</v>
      </c>
      <c r="K49" s="209"/>
      <c r="L49" s="325">
        <v>20000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10138.240000000002</v>
      </c>
      <c r="G57" s="341" t="s">
        <v>444</v>
      </c>
      <c r="H57" s="274"/>
      <c r="I57" s="281">
        <f>Stromkosten!F27</f>
        <v>9621.78</v>
      </c>
      <c r="J57" s="341" t="s">
        <v>447</v>
      </c>
      <c r="K57" s="274"/>
      <c r="L57" s="322">
        <f>Stromkosten!K27</f>
        <v>9205.14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31571.549672727277</v>
      </c>
      <c r="G58" s="424" t="s">
        <v>445</v>
      </c>
      <c r="H58" s="215"/>
      <c r="I58" s="414">
        <f>I25*I27</f>
        <v>38264.43694564382</v>
      </c>
      <c r="J58" s="424" t="s">
        <v>448</v>
      </c>
      <c r="K58" s="215"/>
      <c r="L58" s="323">
        <f>L25*L27</f>
        <v>50013.747774408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-4027.16691</v>
      </c>
      <c r="J59" s="447" t="s">
        <v>507</v>
      </c>
      <c r="K59" s="481"/>
      <c r="L59" s="332">
        <f>'ele. und th. Erlös'!J14</f>
        <v>-4027.16691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1021000</v>
      </c>
      <c r="G60" s="483" t="s">
        <v>505</v>
      </c>
      <c r="H60" s="482"/>
      <c r="I60" s="281">
        <f>I49+I46+I50+I51+I52</f>
        <v>767000</v>
      </c>
      <c r="J60" s="483" t="s">
        <v>508</v>
      </c>
      <c r="K60" s="482"/>
      <c r="L60" s="322">
        <f>L49+L46+L50+L51+L52</f>
        <v>690000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170000</v>
      </c>
      <c r="G61" s="391" t="s">
        <v>446</v>
      </c>
      <c r="H61" s="425"/>
      <c r="I61" s="409">
        <f>I50+I47+I51</f>
        <v>225000</v>
      </c>
      <c r="J61" s="391" t="s">
        <v>449</v>
      </c>
      <c r="K61" s="425"/>
      <c r="L61" s="375">
        <f>L51+L47</f>
        <v>140000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1864796.8814591644</v>
      </c>
      <c r="G62" s="432" t="s">
        <v>506</v>
      </c>
      <c r="H62" s="431"/>
      <c r="I62" s="436">
        <f>Projektkostenbarwertberechnung!D58</f>
        <v>1686236.3781407594</v>
      </c>
      <c r="J62" s="432" t="s">
        <v>509</v>
      </c>
      <c r="K62" s="431"/>
      <c r="L62" s="433">
        <f>Projektkostenbarwertberechnung!F58</f>
        <v>1747824.7721607564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10.1208893</v>
      </c>
      <c r="G66" s="355" t="s">
        <v>461</v>
      </c>
      <c r="H66" s="274"/>
      <c r="I66" s="270">
        <f>'CO2-Bilanz'!E54</f>
        <v>9.142376779999998</v>
      </c>
      <c r="J66" s="342" t="s">
        <v>465</v>
      </c>
      <c r="K66" s="274"/>
      <c r="L66" s="324">
        <f>'CO2-Bilanz'!H54</f>
        <v>9.142376779999998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1.08403838</v>
      </c>
      <c r="G67" s="355" t="s">
        <v>494</v>
      </c>
      <c r="H67" s="215"/>
      <c r="I67" s="270">
        <f>'CO2-Bilanz'!E55</f>
        <v>1.4917519300000002</v>
      </c>
      <c r="J67" s="342" t="s">
        <v>489</v>
      </c>
      <c r="K67" s="215"/>
      <c r="L67" s="324">
        <f>'CO2-Bilanz'!H55</f>
        <v>1.2375305399999998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3.0958154852574418</v>
      </c>
      <c r="J68" s="342" t="s">
        <v>490</v>
      </c>
      <c r="K68" s="215"/>
      <c r="L68" s="324">
        <f>'CO2-Bilanz'!H56</f>
        <v>6.097818380052536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-3.403496782799999</v>
      </c>
      <c r="J69" s="342" t="s">
        <v>491</v>
      </c>
      <c r="K69" s="215"/>
      <c r="L69" s="324">
        <f>'CO2-Bilanz'!H57</f>
        <v>-3.403496782799999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-5.2424658</v>
      </c>
      <c r="J70" s="468" t="s">
        <v>520</v>
      </c>
      <c r="K70" s="215"/>
      <c r="L70" s="324">
        <f>'CO2-Bilanz'!H58</f>
        <v>-5.2424658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11.20492768</v>
      </c>
      <c r="G71" s="356" t="s">
        <v>540</v>
      </c>
      <c r="H71" s="291"/>
      <c r="I71" s="293">
        <f>SUM(I66:I70)</f>
        <v>5.083981612457439</v>
      </c>
      <c r="J71" s="357" t="s">
        <v>541</v>
      </c>
      <c r="K71" s="291"/>
      <c r="L71" s="334">
        <f>SUM(L66:L70)</f>
        <v>7.831763117252535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10.1208893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9.142376779999998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9.142376779999998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1.08403838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1.4917519300000002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1.2375305399999998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3.0958154852574418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6.097818380052536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-3.403496782799999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-3.403496782799999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-5.2424658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-5.2424658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11.20492768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5.083981612457439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7.831763117252535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10.1208893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9.142376779999998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9.142376779999998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1.08403838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1.4917519300000002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1.2375305399999998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3.0958154852574418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6.097818380052536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-3.403496782799999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-3.403496782799999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-5.2424658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-5.2424658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11.20492768</v>
      </c>
      <c r="AF828" s="336" t="s">
        <v>318</v>
      </c>
    </row>
    <row r="829" spans="31:32" ht="15.75">
      <c r="AE829" s="335">
        <f>I71</f>
        <v>5.083981612457439</v>
      </c>
      <c r="AF829" s="336" t="s">
        <v>318</v>
      </c>
    </row>
    <row r="830" spans="31:32" ht="15.75">
      <c r="AE830" s="335">
        <f>L71</f>
        <v>7.831763117252535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3100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25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65410.00000000001</v>
      </c>
      <c r="D18" s="249" t="s">
        <v>216</v>
      </c>
      <c r="E18" s="244">
        <f>Stromkosten!F15*'Variante A'!B3</f>
        <v>59085.99999999999</v>
      </c>
      <c r="G18" s="249" t="s">
        <v>216</v>
      </c>
      <c r="H18" s="244">
        <f>Stromkosten!K15*'Variante A'!B3</f>
        <v>59085.99999999999</v>
      </c>
    </row>
    <row r="19" spans="1:8" ht="12.75">
      <c r="A19" s="238" t="s">
        <v>217</v>
      </c>
      <c r="B19" s="244">
        <f>Stromkosten!B16*'Variante A'!B3</f>
        <v>7005.999999999999</v>
      </c>
      <c r="D19" s="238" t="s">
        <v>217</v>
      </c>
      <c r="E19" s="244">
        <f>Stromkosten!F16*'Variante A'!B3</f>
        <v>9641.000000000002</v>
      </c>
      <c r="F19" s="250"/>
      <c r="G19" s="238" t="s">
        <v>217</v>
      </c>
      <c r="H19" s="244">
        <f>Stromkosten!K16*1.2*'Variante A'!B3</f>
        <v>7997.999999999999</v>
      </c>
    </row>
    <row r="20" spans="1:8" ht="12.75">
      <c r="A20" s="238" t="s">
        <v>180</v>
      </c>
      <c r="B20" s="244">
        <f>B14*(B19+B18)/10^6</f>
        <v>11.204927679999999</v>
      </c>
      <c r="D20" s="238" t="s">
        <v>180</v>
      </c>
      <c r="E20" s="251">
        <f>B14*(E18+E19)/10^6</f>
        <v>10.634128709999999</v>
      </c>
      <c r="F20" s="251"/>
      <c r="G20" s="238" t="s">
        <v>180</v>
      </c>
      <c r="H20" s="251">
        <f>(H19+H18)*B14/10^6</f>
        <v>10.379907319999997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25</v>
      </c>
      <c r="F23" s="250"/>
      <c r="G23" s="249" t="s">
        <v>200</v>
      </c>
      <c r="H23" s="250">
        <f>'Variante A'!B5</f>
        <v>25</v>
      </c>
    </row>
    <row r="24" spans="1:8" ht="12.75">
      <c r="A24" s="249"/>
      <c r="B24" s="522"/>
      <c r="D24" s="249" t="s">
        <v>183</v>
      </c>
      <c r="E24" s="250">
        <f>'Dateneingabe und Ergebnisse'!I25</f>
        <v>1142.2219983774276</v>
      </c>
      <c r="F24" s="250"/>
      <c r="G24" s="249" t="s">
        <v>183</v>
      </c>
      <c r="H24" s="250">
        <f>'Dateneingabe und Ergebnisse'!L25</f>
        <v>2249.8312089252363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3938.6965461290606</v>
      </c>
      <c r="F26" s="250"/>
      <c r="G26" s="249" t="s">
        <v>185</v>
      </c>
      <c r="H26" s="250">
        <f>H24/H25*H23*2</f>
        <v>7758.038651466331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3938.6965461290606</v>
      </c>
      <c r="F33" s="250"/>
      <c r="G33" s="249" t="s">
        <v>184</v>
      </c>
      <c r="H33" s="252">
        <f>H26</f>
        <v>7758.038651466331</v>
      </c>
    </row>
    <row r="34" spans="1:8" ht="12.75">
      <c r="A34" s="249"/>
      <c r="B34" s="251"/>
      <c r="D34" s="249" t="s">
        <v>180</v>
      </c>
      <c r="E34" s="248">
        <f>E33*B10/10^6</f>
        <v>3.0958154852574418</v>
      </c>
      <c r="F34" s="248"/>
      <c r="G34" s="249" t="s">
        <v>180</v>
      </c>
      <c r="H34" s="248">
        <f>H33*B10/10^6</f>
        <v>6.097818380052536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11.204927679999999</v>
      </c>
      <c r="D37" s="238" t="s">
        <v>189</v>
      </c>
      <c r="E37" s="251">
        <f>E34+E20</f>
        <v>13.72994419525744</v>
      </c>
      <c r="F37" s="251"/>
      <c r="G37" s="238" t="s">
        <v>189</v>
      </c>
      <c r="H37" s="251">
        <f>H34+H20</f>
        <v>16.477725700052535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21996.359999999997</v>
      </c>
      <c r="F40" s="250"/>
      <c r="G40" s="238" t="s">
        <v>193</v>
      </c>
      <c r="H40" s="250">
        <f>'ele. und th. Erlös'!J7</f>
        <v>21996.359999999997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20163.329999999998</v>
      </c>
      <c r="F41" s="250"/>
      <c r="G41" s="238" t="s">
        <v>194</v>
      </c>
      <c r="H41" s="250">
        <f>'ele. und th. Erlös'!J8</f>
        <v>20163.329999999998</v>
      </c>
    </row>
    <row r="42" spans="1:8" ht="12.75">
      <c r="A42" s="244"/>
      <c r="D42" s="238" t="s">
        <v>192</v>
      </c>
      <c r="E42" s="251">
        <f>E40*B14/10^6</f>
        <v>3.403496782799999</v>
      </c>
      <c r="F42" s="251"/>
      <c r="G42" s="238" t="s">
        <v>192</v>
      </c>
      <c r="H42" s="248">
        <f>H40*B14/10^6</f>
        <v>3.403496782799999</v>
      </c>
    </row>
    <row r="43" spans="4:8" ht="12.75">
      <c r="D43" s="238" t="s">
        <v>197</v>
      </c>
      <c r="E43" s="251">
        <f>E41*B15/10^6</f>
        <v>5.2424658</v>
      </c>
      <c r="F43" s="251" t="s">
        <v>195</v>
      </c>
      <c r="G43" s="238" t="s">
        <v>197</v>
      </c>
      <c r="H43" s="248">
        <f>H41*B15/10^6</f>
        <v>5.2424658</v>
      </c>
    </row>
    <row r="44" spans="4:8" ht="12.75">
      <c r="D44" s="238" t="s">
        <v>196</v>
      </c>
      <c r="E44" s="251">
        <f>E43+E42</f>
        <v>8.6459625828</v>
      </c>
      <c r="G44" s="238" t="s">
        <v>196</v>
      </c>
      <c r="H44" s="251">
        <f>H43+H42</f>
        <v>8.6459625828</v>
      </c>
    </row>
    <row r="46" spans="1:8" ht="12.75">
      <c r="A46" s="243" t="s">
        <v>198</v>
      </c>
      <c r="B46" s="256">
        <f>B37</f>
        <v>11.204927679999999</v>
      </c>
      <c r="D46" s="243" t="s">
        <v>198</v>
      </c>
      <c r="E46" s="256">
        <f>E37-E44</f>
        <v>5.083981612457441</v>
      </c>
      <c r="G46" s="243" t="s">
        <v>198</v>
      </c>
      <c r="H46" s="256">
        <f>H37-H44</f>
        <v>7.831763117252535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10.1208893</v>
      </c>
      <c r="D54" s="249" t="s">
        <v>210</v>
      </c>
      <c r="E54" s="251">
        <f>E18*$B$14/10^6</f>
        <v>9.142376779999998</v>
      </c>
      <c r="G54" s="249" t="s">
        <v>210</v>
      </c>
      <c r="H54" s="251">
        <f>H18*$B$14/10^6</f>
        <v>9.142376779999998</v>
      </c>
    </row>
    <row r="55" spans="1:8" ht="12.75">
      <c r="A55" s="238" t="s">
        <v>108</v>
      </c>
      <c r="B55" s="251">
        <f>B19*$B$14/10^6</f>
        <v>1.08403838</v>
      </c>
      <c r="D55" s="238" t="s">
        <v>108</v>
      </c>
      <c r="E55" s="251">
        <f>E19*$B$14/10^6</f>
        <v>1.4917519300000002</v>
      </c>
      <c r="G55" s="238" t="s">
        <v>108</v>
      </c>
      <c r="H55" s="251">
        <f>H19*$B$14/10^6</f>
        <v>1.2375305399999998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3.0958154852574418</v>
      </c>
      <c r="G56" s="238" t="s">
        <v>218</v>
      </c>
      <c r="H56" s="248">
        <f>H34</f>
        <v>6.097818380052536</v>
      </c>
    </row>
    <row r="57" spans="1:8" ht="12.75">
      <c r="A57" s="238" t="s">
        <v>222</v>
      </c>
      <c r="B57" s="251">
        <f>B46</f>
        <v>11.204927679999999</v>
      </c>
      <c r="D57" s="238" t="s">
        <v>220</v>
      </c>
      <c r="E57" s="251">
        <f>E42*(-1)</f>
        <v>-3.403496782799999</v>
      </c>
      <c r="G57" s="238" t="s">
        <v>220</v>
      </c>
      <c r="H57" s="248">
        <f>H42*(-1)</f>
        <v>-3.403496782799999</v>
      </c>
    </row>
    <row r="58" spans="4:8" ht="12.75">
      <c r="D58" s="238" t="s">
        <v>221</v>
      </c>
      <c r="E58" s="251">
        <f>E43*(-1)</f>
        <v>-5.2424658</v>
      </c>
      <c r="G58" s="238" t="s">
        <v>221</v>
      </c>
      <c r="H58" s="248">
        <f>H43*(-1)</f>
        <v>-5.2424658</v>
      </c>
    </row>
    <row r="59" spans="4:8" ht="12.75">
      <c r="D59" s="238" t="s">
        <v>222</v>
      </c>
      <c r="E59" s="251">
        <f>E46</f>
        <v>5.083981612457441</v>
      </c>
      <c r="G59" s="238" t="s">
        <v>222</v>
      </c>
      <c r="H59" s="251">
        <f>H46</f>
        <v>7.831763117252535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3100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25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3.1100000000000003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22.169999999999998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72416</v>
      </c>
      <c r="C25" s="53" t="s">
        <v>144</v>
      </c>
      <c r="E25" s="110" t="s">
        <v>140</v>
      </c>
      <c r="F25" s="102">
        <f>F23*'Dateneingabe und Ergebnisse'!F6</f>
        <v>68727</v>
      </c>
      <c r="G25" s="53" t="s">
        <v>144</v>
      </c>
      <c r="H25" s="53"/>
      <c r="J25" s="110" t="s">
        <v>140</v>
      </c>
      <c r="K25" s="102">
        <f>K23*'Dateneingabe und Ergebnisse'!F6</f>
        <v>65750.99999999999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10138.240000000002</v>
      </c>
      <c r="C27" t="s">
        <v>146</v>
      </c>
      <c r="E27" t="s">
        <v>145</v>
      </c>
      <c r="F27" s="106">
        <f>F25*B9/100</f>
        <v>9621.78</v>
      </c>
      <c r="G27" t="s">
        <v>146</v>
      </c>
      <c r="J27" t="s">
        <v>145</v>
      </c>
      <c r="K27" s="106">
        <f>K25*B9/100</f>
        <v>9205.14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70" zoomScalePageLayoutView="0" workbookViewId="0" topLeftCell="IT1">
      <selection activeCell="F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9.281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3100</v>
      </c>
      <c r="D2" s="240"/>
      <c r="E2" s="238">
        <f>$C$2/'Dateneingabe und Ergebnisse'!$F$23*'Dateneingabe und Ergebnisse'!$F$24</f>
        <v>3100</v>
      </c>
      <c r="F2" s="238">
        <f>$C$2/'Dateneingabe und Ergebnisse'!$F$23*'Dateneingabe und Ergebnisse'!$F$24</f>
        <v>3100</v>
      </c>
      <c r="G2" s="240"/>
      <c r="H2" s="240"/>
      <c r="I2" s="240"/>
    </row>
    <row r="3" spans="1:9" ht="12.75">
      <c r="A3" s="238" t="s">
        <v>211</v>
      </c>
      <c r="C3" s="239">
        <f>'Variante A'!B5</f>
        <v>25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1044.316852374425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1044.316852374425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665520.6783980709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637.2785011415845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5" ht="12.75">
      <c r="B33" s="238" t="s">
        <v>255</v>
      </c>
      <c r="C33" s="250">
        <f>B25*(100-C28)/100</f>
        <v>87500</v>
      </c>
      <c r="D33" s="238" t="s">
        <v>237</v>
      </c>
      <c r="E33" s="238">
        <f>C33+C7*C34</f>
        <v>135728.91867492726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21.914824343035285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43.16556309991798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11556.897625502565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19333.917605550436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3100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25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1021000</v>
      </c>
      <c r="C13" s="176" t="s">
        <v>118</v>
      </c>
      <c r="D13" s="200">
        <f>D14+D18+D22</f>
        <v>767000</v>
      </c>
      <c r="E13" s="177" t="s">
        <v>118</v>
      </c>
      <c r="F13" s="191">
        <f>F14+F18+F22</f>
        <v>830000</v>
      </c>
      <c r="G13" s="101"/>
    </row>
    <row r="14" spans="1:7" ht="12.75">
      <c r="A14" s="180" t="s">
        <v>266</v>
      </c>
      <c r="B14" s="189">
        <f>B17+B16+B15</f>
        <v>170000</v>
      </c>
      <c r="C14" s="190" t="s">
        <v>266</v>
      </c>
      <c r="D14" s="167">
        <f>D17+D16+D15</f>
        <v>225000</v>
      </c>
      <c r="E14" s="190" t="s">
        <v>266</v>
      </c>
      <c r="F14" s="191">
        <f>F17+F16+F15</f>
        <v>140000</v>
      </c>
      <c r="G14" s="101"/>
    </row>
    <row r="15" spans="1:7" ht="12.75">
      <c r="A15" s="187" t="s">
        <v>277</v>
      </c>
      <c r="B15" s="184">
        <f>'Dateneingabe und Ergebnisse'!F47+'Dateneingabe und Ergebnisse'!F51</f>
        <v>170000</v>
      </c>
      <c r="C15" s="187" t="s">
        <v>277</v>
      </c>
      <c r="D15" s="183">
        <f>'Dateneingabe und Ergebnisse'!I61</f>
        <v>225000</v>
      </c>
      <c r="E15" s="187" t="s">
        <v>277</v>
      </c>
      <c r="F15" s="195">
        <f>'Dateneingabe und Ergebnisse'!L61</f>
        <v>140000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851000</v>
      </c>
      <c r="C18" s="190" t="s">
        <v>267</v>
      </c>
      <c r="D18" s="167">
        <f>D20+D21+D19</f>
        <v>542000</v>
      </c>
      <c r="E18" s="190" t="s">
        <v>267</v>
      </c>
      <c r="F18" s="167">
        <f>F20+F21+F19</f>
        <v>690000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780000</v>
      </c>
      <c r="C20" s="182" t="s">
        <v>242</v>
      </c>
      <c r="D20" s="183">
        <f>'Dateneingabe und Ergebnisse'!I46-'Dateneingabe und Ergebnisse'!I47</f>
        <v>530000</v>
      </c>
      <c r="E20" s="182" t="s">
        <v>242</v>
      </c>
      <c r="F20" s="183">
        <f>'Dateneingabe und Ergebnisse'!L46</f>
        <v>670000</v>
      </c>
      <c r="G20" s="101"/>
    </row>
    <row r="21" spans="1:7" ht="12.75">
      <c r="A21" s="175" t="s">
        <v>250</v>
      </c>
      <c r="B21" s="184">
        <f>'Dateneingabe und Ergebnisse'!F49</f>
        <v>71000</v>
      </c>
      <c r="C21" s="182" t="s">
        <v>250</v>
      </c>
      <c r="D21" s="183">
        <f>'Dateneingabe und Ergebnisse'!I49</f>
        <v>12000</v>
      </c>
      <c r="E21" s="182" t="s">
        <v>250</v>
      </c>
      <c r="F21" s="183">
        <f>'Dateneingabe und Ergebnisse'!L49</f>
        <v>20000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1021000</v>
      </c>
      <c r="C27" s="175" t="s">
        <v>119</v>
      </c>
      <c r="D27" s="183">
        <f>(D14+D18+D22)*(1-($B$5+$B$6)/100)</f>
        <v>767000</v>
      </c>
      <c r="E27" s="175" t="s">
        <v>119</v>
      </c>
      <c r="F27" s="183">
        <f>(F17+F20+F21+F22)*(1-($B$5+$B$6)/100)</f>
        <v>690000</v>
      </c>
      <c r="G27" s="103"/>
    </row>
    <row r="28" spans="1:7" ht="15.75">
      <c r="A28" s="176" t="s">
        <v>120</v>
      </c>
      <c r="B28" s="189">
        <f>B29+B30+B31+B32</f>
        <v>41709.789672727275</v>
      </c>
      <c r="C28" s="176" t="s">
        <v>120</v>
      </c>
      <c r="D28" s="167">
        <f>D29+D30+D31+D32</f>
        <v>43859.05003564382</v>
      </c>
      <c r="E28" s="177" t="s">
        <v>120</v>
      </c>
      <c r="F28" s="201">
        <f>F29+F30+F31+F32</f>
        <v>55191.720864408</v>
      </c>
      <c r="G28" s="104"/>
    </row>
    <row r="29" spans="1:7" ht="12.75">
      <c r="A29" s="175" t="s">
        <v>121</v>
      </c>
      <c r="B29" s="166">
        <f>Stromkosten!B27</f>
        <v>10138.240000000002</v>
      </c>
      <c r="C29" s="182" t="s">
        <v>121</v>
      </c>
      <c r="D29" s="181">
        <f>Stromkosten!F27</f>
        <v>9621.78</v>
      </c>
      <c r="E29" s="184" t="s">
        <v>121</v>
      </c>
      <c r="F29" s="181">
        <f>Stromkosten!K27</f>
        <v>9205.14</v>
      </c>
      <c r="G29" s="103"/>
    </row>
    <row r="30" spans="1:7" ht="12.75">
      <c r="A30" s="182" t="s">
        <v>159</v>
      </c>
      <c r="B30" s="166">
        <f>'Dateneingabe und Ergebnisse'!F27*'Dateneingabe und Ergebnisse'!F25</f>
        <v>31571.549672727277</v>
      </c>
      <c r="C30" s="182" t="s">
        <v>159</v>
      </c>
      <c r="D30" s="181">
        <f>'Dateneingabe und Ergebnisse'!I27*'Dateneingabe und Ergebnisse'!I25</f>
        <v>38264.43694564382</v>
      </c>
      <c r="E30" s="184" t="s">
        <v>159</v>
      </c>
      <c r="F30" s="181">
        <f>'Dateneingabe und Ergebnisse'!L27*'Dateneingabe und Ergebnisse'!L25</f>
        <v>50013.747774408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-4027.16691</v>
      </c>
      <c r="E31" s="184" t="s">
        <v>160</v>
      </c>
      <c r="F31" s="181">
        <f>'ele. und th. Erlös'!J14</f>
        <v>-4027.16691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1061494.9414298323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809581.6019763532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743584.1950139883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1100810.4185461742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850922.9631184436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795607.6853188312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1138980.784678545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891060.2069457159</v>
      </c>
      <c r="E36" s="102"/>
      <c r="F36" s="102">
        <f t="shared" si="3"/>
        <v>846115.928333242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1176039.3925740507</v>
      </c>
      <c r="C37" s="122"/>
      <c r="D37" s="102">
        <f t="shared" si="4"/>
        <v>930028.4048362714</v>
      </c>
      <c r="E37" s="102"/>
      <c r="F37" s="102">
        <f t="shared" si="3"/>
        <v>895153.0574734465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1212018.6235405612</v>
      </c>
      <c r="C38" s="122"/>
      <c r="D38" s="102">
        <f t="shared" si="4"/>
        <v>967861.6066717624</v>
      </c>
      <c r="E38" s="102"/>
      <c r="F38" s="102">
        <f t="shared" si="3"/>
        <v>942761.9207163635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1246949.9157410567</v>
      </c>
      <c r="C39" s="122"/>
      <c r="D39" s="102">
        <f t="shared" si="4"/>
        <v>1004592.8705897147</v>
      </c>
      <c r="E39" s="102"/>
      <c r="F39" s="102">
        <f t="shared" si="3"/>
        <v>988984.1180395839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1280863.791663868</v>
      </c>
      <c r="C40" s="122"/>
      <c r="D40" s="102">
        <f t="shared" si="4"/>
        <v>1040254.2918692802</v>
      </c>
      <c r="E40" s="102"/>
      <c r="F40" s="102">
        <f t="shared" si="3"/>
        <v>1033860.037770866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1313789.8847928108</v>
      </c>
      <c r="C41" s="122"/>
      <c r="D41" s="102">
        <f t="shared" si="4"/>
        <v>1074877.0309756543</v>
      </c>
      <c r="E41" s="102"/>
      <c r="F41" s="102">
        <f t="shared" si="3"/>
        <v>1077428.8918789066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1345756.9655005224</v>
      </c>
      <c r="C42" s="122"/>
      <c r="D42" s="102">
        <f t="shared" si="4"/>
        <v>1108491.340787668</v>
      </c>
      <c r="E42" s="102"/>
      <c r="F42" s="102">
        <f t="shared" si="3"/>
        <v>1119728.7502362276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1376792.966187621</v>
      </c>
      <c r="C43" s="122"/>
      <c r="D43" s="102">
        <f t="shared" si="4"/>
        <v>1141126.5930323415</v>
      </c>
      <c r="E43" s="102"/>
      <c r="F43" s="102">
        <f t="shared" si="3"/>
        <v>1160796.5738841123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1406925.0056896585</v>
      </c>
      <c r="C44" s="122"/>
      <c r="D44" s="102">
        <f t="shared" si="4"/>
        <v>1172811.3039495004</v>
      </c>
      <c r="E44" s="102"/>
      <c r="F44" s="102">
        <f t="shared" si="3"/>
        <v>1200668.2473286605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1436179.41297319</v>
      </c>
      <c r="C45" s="122"/>
      <c r="D45" s="102">
        <f t="shared" si="4"/>
        <v>1203573.1592088777</v>
      </c>
      <c r="E45" s="102"/>
      <c r="F45" s="102">
        <f t="shared" si="3"/>
        <v>1239378.6098961828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1582079.90385749</v>
      </c>
      <c r="C46" s="122"/>
      <c r="D46" s="102">
        <f t="shared" si="4"/>
        <v>1388951.3003724192</v>
      </c>
      <c r="E46" s="102"/>
      <c r="F46" s="102">
        <f t="shared" si="3"/>
        <v>1373724.6715883615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1609654.9884870795</v>
      </c>
      <c r="C47" s="122"/>
      <c r="D47" s="102">
        <f t="shared" si="4"/>
        <v>1417947.2992972732</v>
      </c>
      <c r="E47" s="102"/>
      <c r="F47" s="102">
        <f t="shared" si="3"/>
        <v>1410212.9009855927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1636426.9153119237</v>
      </c>
      <c r="C48" s="122"/>
      <c r="D48" s="102">
        <f t="shared" si="4"/>
        <v>1446098.7545641216</v>
      </c>
      <c r="E48" s="102"/>
      <c r="F48" s="102">
        <f t="shared" si="3"/>
        <v>1445638.3664197975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1662419.0772777917</v>
      </c>
      <c r="C49" s="122"/>
      <c r="D49" s="102">
        <f t="shared" si="4"/>
        <v>1473430.2645319353</v>
      </c>
      <c r="E49" s="102"/>
      <c r="F49" s="102">
        <f t="shared" si="3"/>
        <v>1480032.0221811614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1687654.1859825184</v>
      </c>
      <c r="C50" s="122"/>
      <c r="D50" s="102">
        <f t="shared" si="4"/>
        <v>1499965.7111026286</v>
      </c>
      <c r="E50" s="102"/>
      <c r="F50" s="102">
        <f t="shared" si="3"/>
        <v>1513423.9209786023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1712154.2915210875</v>
      </c>
      <c r="C51" s="122"/>
      <c r="D51" s="102">
        <f t="shared" si="4"/>
        <v>1525728.2805887384</v>
      </c>
      <c r="E51" s="102"/>
      <c r="F51" s="102">
        <f t="shared" si="3"/>
        <v>1545843.2401994185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1735940.8017527082</v>
      </c>
      <c r="C52" s="122"/>
      <c r="D52" s="102">
        <f t="shared" si="4"/>
        <v>1550740.483973311</v>
      </c>
      <c r="E52" s="102"/>
      <c r="F52" s="102">
        <f t="shared" si="3"/>
        <v>1577318.3074040946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1759034.501006709</v>
      </c>
      <c r="C53" s="122"/>
      <c r="D53" s="102">
        <f t="shared" si="4"/>
        <v>1575024.1765796926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1607876.6250785373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1781455.5682436025</v>
      </c>
      <c r="C54" s="122"/>
      <c r="D54" s="102">
        <f t="shared" si="4"/>
        <v>1598600.5771684118</v>
      </c>
      <c r="E54" s="102"/>
      <c r="F54" s="102">
        <f t="shared" si="3"/>
        <v>1637544.8946653747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1803223.594687189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1621490.2864778487</v>
      </c>
      <c r="E55" s="122"/>
      <c r="F55" s="102">
        <f t="shared" si="3"/>
        <v>1666349.0398953145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1824357.6009430978</v>
      </c>
      <c r="C56" s="122"/>
      <c r="D56" s="102">
        <f t="shared" si="4"/>
        <v>1643713.3052248748</v>
      </c>
      <c r="E56" s="122"/>
      <c r="F56" s="102">
        <f t="shared" si="3"/>
        <v>1694314.229438945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1844876.0536187375</v>
      </c>
      <c r="C57" s="122"/>
      <c r="D57" s="102">
        <f t="shared" si="4"/>
        <v>1665289.0515812102</v>
      </c>
      <c r="E57" s="122"/>
      <c r="F57" s="102">
        <f t="shared" si="3"/>
        <v>1721464.89889878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1864796.8814591644</v>
      </c>
      <c r="C58" s="122"/>
      <c r="D58" s="102">
        <f t="shared" si="4"/>
        <v>1686236.3781407594</v>
      </c>
      <c r="E58" s="122"/>
      <c r="F58" s="102">
        <f t="shared" si="3"/>
        <v>1747824.7721607564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2371772.777229132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2072897.060016442</v>
      </c>
      <c r="E59" s="122"/>
      <c r="F59" s="102">
        <f t="shared" si="3"/>
        <v>2169829.5046110176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2390550.0680580763</v>
      </c>
      <c r="C60" s="122"/>
      <c r="D60" s="102">
        <f t="shared" si="4"/>
        <v>2092641.9243387617</v>
      </c>
      <c r="E60" s="122"/>
      <c r="F60" s="102">
        <f t="shared" si="3"/>
        <v>2194676.2133130403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2408780.447503653</v>
      </c>
      <c r="C61" s="122"/>
      <c r="D61" s="102">
        <f t="shared" si="4"/>
        <v>2111811.6955254804</v>
      </c>
      <c r="E61" s="122"/>
      <c r="F61" s="102">
        <f t="shared" si="3"/>
        <v>2218799.2314703446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2426479.8450236307</v>
      </c>
      <c r="C62" s="122"/>
      <c r="D62" s="102">
        <f t="shared" si="4"/>
        <v>2130423.1238621</v>
      </c>
      <c r="E62" s="122"/>
      <c r="F62" s="102">
        <f t="shared" si="3"/>
        <v>2242219.637448309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2443663.7261109874</v>
      </c>
      <c r="C63" s="122"/>
      <c r="D63" s="102">
        <f t="shared" si="4"/>
        <v>2148492.471761731</v>
      </c>
      <c r="E63" s="122"/>
      <c r="F63" s="102">
        <f t="shared" si="3"/>
        <v>2264957.895679343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2460347.1058074506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2166035.527974965</v>
      </c>
      <c r="E64" s="122"/>
      <c r="F64" s="102">
        <f t="shared" si="3"/>
        <v>2287033.874544425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2476544.561823434</v>
      </c>
      <c r="C65" s="122"/>
      <c r="D65" s="102">
        <f t="shared" si="4"/>
        <v>2183067.6213858714</v>
      </c>
      <c r="E65" s="122"/>
      <c r="F65" s="102">
        <f t="shared" si="3"/>
        <v>2308466.8637338243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2492270.247275845</v>
      </c>
      <c r="C66" s="122"/>
      <c r="D66" s="102">
        <f t="shared" si="4"/>
        <v>2199603.6344061694</v>
      </c>
      <c r="E66" s="122"/>
      <c r="F66" s="102">
        <f t="shared" si="3"/>
        <v>2329275.591102173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2507537.903054885</v>
      </c>
      <c r="C67" s="122"/>
      <c r="D67" s="102">
        <f t="shared" si="4"/>
        <v>2215658.0159792737</v>
      </c>
      <c r="E67" s="122"/>
      <c r="F67" s="102">
        <f t="shared" si="3"/>
        <v>2349478.239032609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2522360.869830652</v>
      </c>
      <c r="C68" s="122"/>
      <c r="D68" s="102">
        <f t="shared" si="4"/>
        <v>2231244.794205589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2369092.4603242944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2536752.099710038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2246377.5886000698</v>
      </c>
      <c r="E69" s="122"/>
      <c r="F69" s="102">
        <f t="shared" si="3"/>
        <v>2388135.3936171927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2550724.1675541014</v>
      </c>
      <c r="C70" s="122"/>
      <c r="D70" s="102">
        <f t="shared" si="4"/>
        <v>2261069.6219927697</v>
      </c>
      <c r="E70" s="122"/>
      <c r="F70" s="102">
        <f t="shared" si="3"/>
        <v>2406623.67836758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2620407.054558453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2349607.254631851</v>
      </c>
      <c r="E71" s="122"/>
      <c r="F71" s="102">
        <f t="shared" si="3"/>
        <v>2470788.1056401343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2633577.0685504065</v>
      </c>
      <c r="C72" s="122"/>
      <c r="D72" s="102">
        <f t="shared" si="4"/>
        <v>2363455.9052046663</v>
      </c>
      <c r="E72" s="122"/>
      <c r="F72" s="102">
        <f t="shared" si="3"/>
        <v>2488215.087212749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2646363.489901818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2376901.1970229335</v>
      </c>
      <c r="E73" s="122"/>
      <c r="F73" s="102">
        <f t="shared" si="3"/>
        <v>2505134.4867978115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2658777.4912138674</v>
      </c>
      <c r="C74" s="122"/>
      <c r="D74" s="102">
        <f t="shared" si="4"/>
        <v>2389954.878399892</v>
      </c>
      <c r="E74" s="122"/>
      <c r="F74" s="102">
        <f t="shared" si="3"/>
        <v>2521561.088336707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2670829.9196721683</v>
      </c>
      <c r="C75" s="122"/>
      <c r="D75" s="102">
        <f t="shared" si="4"/>
        <v>2402628.3554649004</v>
      </c>
      <c r="E75" s="122"/>
      <c r="F75" s="102">
        <f t="shared" si="3"/>
        <v>2537509.2451705867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2682531.306524887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2414932.702129957</v>
      </c>
      <c r="E76" s="122"/>
      <c r="F76" s="102">
        <f t="shared" si="3"/>
        <v>2552992.89258212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2693891.876284809</v>
      </c>
      <c r="C77" s="122"/>
      <c r="D77" s="102">
        <f t="shared" si="4"/>
        <v>2426878.6697659343</v>
      </c>
      <c r="E77" s="122"/>
      <c r="F77" s="102">
        <f t="shared" si="3"/>
        <v>2568025.5599719584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2704921.5556633733</v>
      </c>
      <c r="C78" s="122"/>
      <c r="D78" s="102">
        <f t="shared" si="4"/>
        <v>2438476.69659698</v>
      </c>
      <c r="E78" s="122"/>
      <c r="F78" s="102">
        <f t="shared" si="3"/>
        <v>2582620.382680539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2715629.982244504</v>
      </c>
      <c r="C79" s="122"/>
      <c r="D79" s="102">
        <f t="shared" si="4"/>
        <v>2449736.9168212963</v>
      </c>
      <c r="E79" s="122"/>
      <c r="F79" s="102">
        <f t="shared" si="3"/>
        <v>2596790.113465569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2726026.512905796</v>
      </c>
      <c r="C80" s="122"/>
      <c r="D80" s="102">
        <f t="shared" si="4"/>
        <v>2460669.1694662636</v>
      </c>
      <c r="E80" s="122"/>
      <c r="F80" s="102">
        <f t="shared" si="3"/>
        <v>2610547.13364521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2736120.2319944287</v>
      </c>
      <c r="C81" s="122"/>
      <c r="D81" s="102">
        <f t="shared" si="4"/>
        <v>2471283.0069856495</v>
      </c>
      <c r="E81" s="122"/>
      <c r="F81" s="102">
        <f t="shared" si="3"/>
        <v>2623903.4639167055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2745919.959264946</v>
      </c>
      <c r="C82" s="122"/>
      <c r="D82" s="102">
        <f t="shared" si="4"/>
        <v>2481587.7036064123</v>
      </c>
      <c r="E82" s="122"/>
      <c r="F82" s="102">
        <f t="shared" si="3"/>
        <v>2636870.7748599052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2755434.257585837</v>
      </c>
      <c r="C83" s="122"/>
      <c r="D83" s="102">
        <f t="shared" si="4"/>
        <v>2491592.2634323956</v>
      </c>
      <c r="E83" s="122"/>
      <c r="F83" s="102">
        <f t="shared" si="3"/>
        <v>2649460.397134857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17.421576009407154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174.21576009407156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188.86326009407156</v>
      </c>
      <c r="C42" s="66" t="s">
        <v>60</v>
      </c>
      <c r="E42"/>
    </row>
    <row r="43" spans="1:5" ht="12.75">
      <c r="A43" s="3" t="s">
        <v>101</v>
      </c>
      <c r="B43" s="67">
        <f>B31+B23</f>
        <v>17.480166009407153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143.48410001347733</v>
      </c>
      <c r="C47" s="66" t="s">
        <v>6</v>
      </c>
      <c r="E47"/>
    </row>
    <row r="48" spans="1:5" ht="12.75">
      <c r="A48" s="3" t="s">
        <v>69</v>
      </c>
      <c r="B48" s="67">
        <f>B22/100*B24</f>
        <v>101.0451408545615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21.103034467836306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17.603034467836306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17.480166009407153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231.39632089920823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0.6220331206967963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19.88352719717785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292.0567171344106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194.70447808960705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104.30597040514664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12.281186838025329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5619.863228841018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1605.6752082402909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561.9863228841018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1043.688885356189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22.47945291536407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224.79452915364072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18.88472974710419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188.84729747104188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203.49479747104186</v>
      </c>
      <c r="C42" s="66" t="s">
        <v>60</v>
      </c>
      <c r="E42"/>
    </row>
    <row r="43" spans="1:5" ht="12.75">
      <c r="A43" s="3" t="s">
        <v>101</v>
      </c>
      <c r="B43" s="67">
        <f>B31+B23</f>
        <v>18.943319747104187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1.0742298614378274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168.94279231759407</v>
      </c>
      <c r="C47" s="66" t="s">
        <v>6</v>
      </c>
      <c r="E47"/>
    </row>
    <row r="48" spans="1:5" ht="12.75">
      <c r="A48" s="3" t="s">
        <v>69</v>
      </c>
      <c r="B48" s="67">
        <f>B22/100*B24</f>
        <v>118.97379740675639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27.9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167.39999999999998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60.263999999999996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92.07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7.095599999999999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7.095599999999999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3.107992643800423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0.957992643800423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2.034093969713227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0.33901566161887114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0.957992643800423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214.81792488133286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0.5774675400035829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19.444581075868744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274.7321127103097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183.15474180687315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98.11861168225347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11.552675246458875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3655.108983310488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1044.316852374425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365.51089833104874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678.8059540433763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18.88472974710419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243.6739322206992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3100</v>
      </c>
      <c r="C2" s="22"/>
      <c r="F2" s="22"/>
      <c r="G2" s="22"/>
    </row>
    <row r="3" spans="1:7" ht="15" customHeight="1">
      <c r="A3" t="s">
        <v>211</v>
      </c>
      <c r="B3" s="106">
        <f>'Variante A'!B5</f>
        <v>25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21996.359999999997</v>
      </c>
      <c r="G7" s="101"/>
      <c r="I7" s="124" t="s">
        <v>148</v>
      </c>
      <c r="J7" s="102">
        <f>'Variante F 1-2'!B71*365</f>
        <v>21996.359999999997</v>
      </c>
      <c r="K7" s="101"/>
    </row>
    <row r="8" spans="5:11" ht="12.75">
      <c r="E8" s="124" t="s">
        <v>149</v>
      </c>
      <c r="F8" s="102">
        <f>'Variante F 1-2'!B72*365*('Variante F 1-2'!B73/100)</f>
        <v>20163.329999999998</v>
      </c>
      <c r="G8" s="101"/>
      <c r="I8" s="124" t="s">
        <v>149</v>
      </c>
      <c r="J8" s="102">
        <f>'Variante F 1-2'!B72*365*'Variante F 1-2'!B73/100</f>
        <v>20163.329999999998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307949.04</v>
      </c>
      <c r="I11" s="124" t="s">
        <v>152</v>
      </c>
      <c r="J11" s="103">
        <f>J9*J7</f>
        <v>307949.04</v>
      </c>
    </row>
    <row r="12" spans="5:10" ht="12.75">
      <c r="E12" s="124" t="s">
        <v>153</v>
      </c>
      <c r="F12" s="103">
        <f>F8*F10</f>
        <v>94767.651</v>
      </c>
      <c r="I12" s="124" t="s">
        <v>153</v>
      </c>
      <c r="J12" s="103">
        <f>J8*J10</f>
        <v>94767.651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-4027.16691</v>
      </c>
      <c r="I14" s="101" t="s">
        <v>154</v>
      </c>
      <c r="J14" s="102">
        <f>(J12+J11)/100*(-1)</f>
        <v>-4027.16691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F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3100</v>
      </c>
      <c r="D2" s="22"/>
      <c r="E2" s="6">
        <f>C2-('Dateneingabe und Ergebnisse'!F11)/'Dateneingabe und Ergebnisse'!F23*10000</f>
        <v>3100</v>
      </c>
      <c r="G2" s="22"/>
      <c r="H2" s="22"/>
      <c r="I2" s="22"/>
    </row>
    <row r="3" spans="1:9" ht="15" customHeight="1">
      <c r="A3" t="s">
        <v>211</v>
      </c>
      <c r="C3" s="106">
        <f>'Variante A'!B5</f>
        <v>25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1605.6752082402909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1605.6752082402909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946313.9496273493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589.3557705636148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5" ht="12.75">
      <c r="B28" t="s">
        <v>255</v>
      </c>
      <c r="C28" s="102">
        <f>B20*(100-C23)/100</f>
        <v>87500</v>
      </c>
      <c r="D28" t="s">
        <v>237</v>
      </c>
      <c r="E28">
        <f>C28+C29*C7</f>
        <v>161653.71959237795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s">
        <v>468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46.4367816091954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46.4367816091954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143954.02298850575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2012-10-25T09:12:23Z</cp:lastPrinted>
  <dcterms:created xsi:type="dcterms:W3CDTF">2007-10-03T13:22:06Z</dcterms:created>
  <dcterms:modified xsi:type="dcterms:W3CDTF">2012-10-25T09:50:17Z</dcterms:modified>
  <cp:category/>
  <cp:version/>
  <cp:contentType/>
  <cp:contentStatus/>
</cp:coreProperties>
</file>